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clprofiles\LocalCache$\A0534\ec\EC_ines\c13023494\"/>
    </mc:Choice>
  </mc:AlternateContent>
  <bookViews>
    <workbookView xWindow="0" yWindow="0" windowWidth="28800" windowHeight="14100" tabRatio="673" firstSheet="1" activeTab="1"/>
  </bookViews>
  <sheets>
    <sheet name="Tables" sheetId="1" state="veryHidden" r:id="rId1"/>
    <sheet name="INDEX" sheetId="11" r:id="rId2"/>
    <sheet name="Introduction" sheetId="13" r:id="rId3"/>
    <sheet name="Important changes" sheetId="16" state="veryHidden" r:id="rId4"/>
    <sheet name="Proposed structure" sheetId="47" state="veryHidden" r:id="rId5"/>
    <sheet name="Correspondence" sheetId="56" r:id="rId6"/>
    <sheet name="Modifications" sheetId="55" r:id="rId7"/>
    <sheet name="V1.20+V1.20-F" sheetId="9" r:id="rId8"/>
    <sheet name="V1.21" sheetId="18" r:id="rId9"/>
    <sheet name="V1.30+V1.30-F" sheetId="31" r:id="rId10"/>
    <sheet name="V1.31" sheetId="30" r:id="rId11"/>
    <sheet name="V1.40" sheetId="22" r:id="rId12"/>
    <sheet name="V1.41" sheetId="20" r:id="rId13"/>
    <sheet name="V1.42" sheetId="21" r:id="rId14"/>
    <sheet name="V1.50+V1.50-F" sheetId="34" r:id="rId15"/>
    <sheet name="V1.51" sheetId="39" r:id="rId16"/>
    <sheet name="V1.52+V1.52-F" sheetId="38" r:id="rId17"/>
    <sheet name="V1.53" sheetId="27" r:id="rId18"/>
    <sheet name="V1.60+V1.60-F" sheetId="36" r:id="rId19"/>
    <sheet name="V1.70" sheetId="29" r:id="rId20"/>
    <sheet name="V1.80" sheetId="35" r:id="rId21"/>
    <sheet name="V1.90" sheetId="42" r:id="rId22"/>
    <sheet name="V1.91+V1.91-F" sheetId="43" r:id="rId23"/>
    <sheet name="V1.100" sheetId="44" r:id="rId24"/>
    <sheet name="V1.110+V1.110-F" sheetId="32" r:id="rId25"/>
    <sheet name="V1.200" sheetId="25" r:id="rId26"/>
    <sheet name="V1.201" sheetId="37" r:id="rId27"/>
    <sheet name="V1.210" sheetId="26" r:id="rId28"/>
    <sheet name="V1.220" sheetId="23" r:id="rId29"/>
    <sheet name="V1.221" sheetId="41" r:id="rId30"/>
    <sheet name="V1.222" sheetId="33" r:id="rId31"/>
    <sheet name="V1.230" sheetId="53" r:id="rId32"/>
    <sheet name="V1.300-F" sheetId="17" r:id="rId33"/>
    <sheet name="Codes" sheetId="51" r:id="rId34"/>
    <sheet name="Concepts" sheetId="50" r:id="rId35"/>
    <sheet name="Concepts_ECB" sheetId="10" state="veryHidden" r:id="rId36"/>
    <sheet name="Customer category" sheetId="54" r:id="rId37"/>
    <sheet name="MCC" sheetId="57" r:id="rId38"/>
    <sheet name="Processing chain" sheetId="58" r:id="rId39"/>
    <sheet name="Table names" sheetId="52" state="veryHidden" r:id="rId40"/>
  </sheets>
  <definedNames>
    <definedName name="_xlnm._FilterDatabase" localSheetId="33" hidden="1">Codes!$A$1:$G$877</definedName>
    <definedName name="_xlnm._FilterDatabase" localSheetId="34" hidden="1">Concepts!$A$2:$L$225</definedName>
    <definedName name="_xlnm._FilterDatabase" localSheetId="35" hidden="1">Concepts_ECB!$A$2:$H$248</definedName>
    <definedName name="_xlnm._FilterDatabase" localSheetId="1" hidden="1">INDEX!$C$1:$C$55</definedName>
    <definedName name="_xlnm._FilterDatabase" localSheetId="6" hidden="1">Modifications!$A$3:$D$441</definedName>
    <definedName name="_xlnm._FilterDatabase" localSheetId="39" hidden="1">'Table names'!$D$2:$D$49</definedName>
    <definedName name="_xlnm._FilterDatabase" localSheetId="23" hidden="1">'V1.100'!$C$23:$C$42</definedName>
    <definedName name="_xlnm._FilterDatabase" localSheetId="24" hidden="1">'V1.110+V1.110-F'!$C$39:$C$45</definedName>
    <definedName name="_xlnm._FilterDatabase" localSheetId="7" hidden="1">'V1.20+V1.20-F'!$A$49:$O$84</definedName>
    <definedName name="_xlnm._FilterDatabase" localSheetId="14" hidden="1">'V1.50+V1.50-F'!$B$43:$C$86</definedName>
    <definedName name="_xlnm._FilterDatabase" localSheetId="21" hidden="1">'V1.90'!$C$17:$D$28</definedName>
    <definedName name="_xlnm._FilterDatabase" localSheetId="22" hidden="1">'V1.91+V1.91-F'!$C$43:$D$68</definedName>
    <definedName name="_xlnm.Print_Area" localSheetId="0">Tables!$E$2:$G$441</definedName>
  </definedNames>
  <calcPr calcId="162913"/>
</workbook>
</file>

<file path=xl/calcChain.xml><?xml version="1.0" encoding="utf-8"?>
<calcChain xmlns="http://schemas.openxmlformats.org/spreadsheetml/2006/main">
  <c r="F877" i="51" l="1"/>
  <c r="F876" i="51"/>
  <c r="F875" i="51"/>
  <c r="F874" i="51"/>
  <c r="F873" i="51"/>
  <c r="F872" i="51"/>
  <c r="F871" i="51"/>
  <c r="F870" i="51"/>
  <c r="F869" i="51"/>
  <c r="F868" i="51"/>
  <c r="F867" i="51"/>
  <c r="F866" i="51"/>
  <c r="F865" i="51"/>
  <c r="F864" i="51"/>
  <c r="F863" i="51"/>
  <c r="F862" i="51"/>
  <c r="F861" i="51"/>
  <c r="F860" i="51"/>
  <c r="F859" i="51"/>
  <c r="F858" i="51"/>
  <c r="F857" i="51"/>
  <c r="F856" i="51"/>
  <c r="F855" i="51"/>
  <c r="F854" i="51"/>
  <c r="F853" i="51"/>
  <c r="F852" i="51"/>
  <c r="F851" i="51"/>
  <c r="F850" i="51"/>
  <c r="F849" i="51"/>
  <c r="F848" i="51"/>
  <c r="F847" i="51"/>
  <c r="F846" i="51"/>
  <c r="F845" i="51"/>
  <c r="F844" i="51"/>
  <c r="F843" i="51"/>
  <c r="F842" i="51"/>
  <c r="F841" i="51"/>
  <c r="F840" i="51"/>
  <c r="F839" i="51"/>
  <c r="F838" i="51"/>
  <c r="F837" i="51"/>
  <c r="F836" i="51"/>
  <c r="F835" i="51"/>
  <c r="F834" i="51"/>
  <c r="F833" i="51"/>
  <c r="F832" i="51"/>
  <c r="F831" i="51"/>
  <c r="F830" i="51"/>
  <c r="F829" i="51"/>
  <c r="F828" i="51"/>
  <c r="F827" i="51"/>
  <c r="F826" i="51"/>
  <c r="F825" i="51"/>
  <c r="F824" i="51"/>
  <c r="F823" i="51"/>
  <c r="F822" i="51"/>
  <c r="F821" i="51"/>
  <c r="F820" i="51"/>
  <c r="F819" i="51"/>
  <c r="F818" i="51"/>
  <c r="F817" i="51"/>
  <c r="F816" i="51"/>
  <c r="F815" i="51"/>
  <c r="F814" i="51"/>
  <c r="F813" i="51"/>
  <c r="F812" i="51"/>
  <c r="F811" i="51"/>
  <c r="F810" i="51"/>
  <c r="F809" i="51"/>
  <c r="F808" i="51"/>
  <c r="F807" i="51"/>
  <c r="F806" i="51"/>
  <c r="F805" i="51"/>
  <c r="F804" i="51"/>
  <c r="F803" i="51"/>
  <c r="F802" i="51"/>
  <c r="F801" i="51"/>
  <c r="F800" i="51"/>
  <c r="F799" i="51"/>
  <c r="F798" i="51"/>
  <c r="F797" i="51"/>
  <c r="F796" i="51"/>
  <c r="F795" i="51"/>
  <c r="F794" i="51"/>
  <c r="F793" i="51"/>
  <c r="F792" i="51"/>
  <c r="F791" i="51"/>
  <c r="F790" i="51"/>
  <c r="F789" i="51"/>
  <c r="F788" i="51"/>
  <c r="F787" i="51"/>
  <c r="F786" i="51"/>
  <c r="F785" i="51"/>
  <c r="F784" i="51"/>
  <c r="F783" i="51"/>
  <c r="F782" i="51"/>
  <c r="F781" i="51"/>
  <c r="F780" i="51"/>
  <c r="F779" i="51"/>
  <c r="F778" i="51"/>
  <c r="F777" i="51"/>
  <c r="F776" i="51"/>
  <c r="F775" i="51"/>
  <c r="F774" i="51"/>
  <c r="F773" i="51"/>
  <c r="F772" i="51"/>
  <c r="F771" i="51"/>
  <c r="F770" i="51"/>
  <c r="F769" i="51"/>
  <c r="F768" i="51"/>
  <c r="F767" i="51"/>
  <c r="F766" i="51"/>
  <c r="F765" i="51"/>
  <c r="F764" i="51"/>
  <c r="F763" i="51"/>
  <c r="F762" i="51"/>
  <c r="F761" i="51"/>
  <c r="F760" i="51"/>
  <c r="F759" i="51"/>
  <c r="F758" i="51"/>
  <c r="F757" i="51"/>
  <c r="F756" i="51"/>
  <c r="F755" i="51"/>
  <c r="F754" i="51"/>
  <c r="F753" i="51"/>
  <c r="F752" i="51"/>
  <c r="F751" i="51"/>
  <c r="F750" i="51"/>
  <c r="F749" i="51"/>
  <c r="F748" i="51"/>
  <c r="F747" i="51"/>
  <c r="F746" i="51"/>
  <c r="F745" i="51"/>
  <c r="F744" i="51"/>
  <c r="F743" i="51"/>
  <c r="F742" i="51"/>
  <c r="F741" i="51"/>
  <c r="F740" i="51"/>
  <c r="F739" i="51"/>
  <c r="F738" i="51"/>
  <c r="F737" i="51"/>
  <c r="F736" i="51"/>
  <c r="F735" i="51"/>
  <c r="F734" i="51"/>
  <c r="F733" i="51"/>
  <c r="F732" i="51"/>
  <c r="F731" i="51"/>
  <c r="F730" i="51"/>
  <c r="F729" i="51"/>
  <c r="F728" i="51"/>
  <c r="F727" i="51"/>
  <c r="F726" i="51"/>
  <c r="F725" i="51"/>
  <c r="F724" i="51"/>
  <c r="F723" i="51"/>
  <c r="F722" i="51"/>
  <c r="F721" i="51"/>
  <c r="F720" i="51"/>
  <c r="F719" i="51"/>
  <c r="F718" i="51"/>
  <c r="F717" i="51"/>
  <c r="F716" i="51"/>
  <c r="F715" i="51"/>
  <c r="F714" i="51"/>
  <c r="F713" i="51"/>
  <c r="F712" i="51"/>
  <c r="F711" i="51"/>
  <c r="F710" i="51"/>
  <c r="F709" i="51"/>
  <c r="F708" i="51"/>
  <c r="F707" i="51"/>
  <c r="F706" i="51"/>
  <c r="F705" i="51"/>
  <c r="F704" i="51"/>
  <c r="F703" i="51"/>
  <c r="F702" i="51"/>
  <c r="F701" i="51"/>
  <c r="F700" i="51"/>
  <c r="F699" i="51"/>
  <c r="F698" i="51"/>
  <c r="F697" i="51"/>
  <c r="F696" i="51"/>
  <c r="F695" i="51"/>
  <c r="F694" i="51"/>
  <c r="F693" i="51"/>
  <c r="F692" i="51"/>
  <c r="F691" i="51"/>
  <c r="F690" i="51"/>
  <c r="F689" i="51"/>
  <c r="F688" i="51"/>
  <c r="F687" i="51"/>
  <c r="F686" i="51"/>
  <c r="F685" i="51"/>
  <c r="F684" i="51"/>
  <c r="F683" i="51"/>
  <c r="F682" i="51"/>
  <c r="F681" i="51"/>
  <c r="F680" i="51"/>
  <c r="F679" i="51"/>
  <c r="F678" i="51"/>
  <c r="F677" i="51"/>
  <c r="F676" i="51"/>
  <c r="F675" i="51"/>
  <c r="F674" i="51"/>
  <c r="F673" i="51"/>
  <c r="F672" i="51"/>
  <c r="F671" i="51"/>
  <c r="F670" i="51"/>
  <c r="F669" i="51"/>
  <c r="F668" i="51"/>
  <c r="F667" i="51"/>
  <c r="F666" i="51"/>
  <c r="F665" i="51"/>
  <c r="F664" i="51"/>
  <c r="F663" i="51"/>
  <c r="F662" i="51"/>
  <c r="F661" i="51"/>
  <c r="F660" i="51"/>
  <c r="F659" i="51"/>
  <c r="F658" i="51"/>
  <c r="F657" i="51"/>
  <c r="F656" i="51"/>
  <c r="F655" i="51"/>
  <c r="F654" i="51"/>
  <c r="F653" i="51"/>
  <c r="F652" i="51"/>
  <c r="F651" i="51"/>
  <c r="F650" i="51"/>
  <c r="F649" i="51"/>
  <c r="F648" i="51"/>
  <c r="F647" i="51"/>
  <c r="F646" i="51"/>
  <c r="F645" i="51"/>
  <c r="F644" i="51"/>
  <c r="F643" i="51"/>
  <c r="F642" i="51"/>
  <c r="F641" i="51"/>
  <c r="F640" i="51"/>
  <c r="F639" i="51"/>
  <c r="F638" i="51"/>
  <c r="F637" i="51"/>
  <c r="F636" i="51"/>
  <c r="F635" i="51"/>
  <c r="F634" i="51"/>
  <c r="F633" i="51"/>
  <c r="F632" i="51"/>
  <c r="F631" i="51"/>
  <c r="F630" i="51"/>
  <c r="F629" i="51"/>
  <c r="F628" i="51"/>
  <c r="F627" i="51"/>
  <c r="F626" i="51"/>
  <c r="F625" i="51"/>
  <c r="F624" i="51"/>
  <c r="F623" i="51"/>
  <c r="F622" i="51"/>
  <c r="F621" i="51"/>
  <c r="F620" i="51"/>
  <c r="F619" i="51"/>
  <c r="F618" i="51"/>
  <c r="F617" i="51"/>
  <c r="F616" i="51"/>
  <c r="F615" i="51"/>
  <c r="F614" i="51"/>
  <c r="F613" i="51"/>
  <c r="F612" i="51"/>
  <c r="F611" i="51"/>
  <c r="F610" i="51"/>
  <c r="F609" i="51"/>
  <c r="F608" i="51"/>
  <c r="F607" i="51"/>
  <c r="F606" i="51"/>
  <c r="F605" i="51"/>
  <c r="F604" i="51"/>
  <c r="F603" i="51"/>
  <c r="F602" i="51"/>
  <c r="F601" i="51"/>
  <c r="F600" i="51"/>
  <c r="F599" i="51"/>
  <c r="F598" i="51"/>
  <c r="F597" i="51"/>
  <c r="F596" i="51"/>
  <c r="F595" i="51"/>
  <c r="F594" i="51"/>
  <c r="F593" i="51"/>
  <c r="F592" i="51"/>
  <c r="F591" i="51"/>
  <c r="F590" i="51"/>
  <c r="F589" i="51"/>
  <c r="F588" i="51"/>
  <c r="F587" i="51"/>
  <c r="F586" i="51"/>
  <c r="F585" i="51"/>
  <c r="F584" i="51"/>
  <c r="F583" i="51"/>
  <c r="F582" i="51"/>
  <c r="F581" i="51"/>
  <c r="F580" i="51"/>
  <c r="F579" i="51"/>
  <c r="F578" i="51"/>
  <c r="F577" i="51"/>
  <c r="F576" i="51"/>
  <c r="F575" i="51"/>
  <c r="F574" i="51"/>
  <c r="F573" i="51"/>
  <c r="F572" i="51"/>
  <c r="F571" i="51"/>
  <c r="F570" i="51"/>
  <c r="F569" i="51"/>
  <c r="F568" i="51"/>
  <c r="F567" i="51"/>
  <c r="F566" i="51"/>
  <c r="F565" i="51"/>
  <c r="F564" i="51"/>
  <c r="F563" i="51"/>
  <c r="F562" i="51"/>
  <c r="F561" i="51"/>
  <c r="F560" i="51"/>
  <c r="F559" i="51"/>
  <c r="F558" i="51"/>
  <c r="F557" i="51"/>
  <c r="F556" i="51"/>
  <c r="F555" i="51"/>
  <c r="F554" i="51"/>
  <c r="F553" i="51"/>
  <c r="F552" i="51"/>
  <c r="F551" i="51"/>
  <c r="F550" i="51"/>
  <c r="F549" i="51"/>
  <c r="F548" i="51"/>
  <c r="F547" i="51"/>
  <c r="F546" i="51"/>
  <c r="F545" i="51"/>
  <c r="F544" i="51"/>
  <c r="F543" i="51"/>
  <c r="F542" i="51"/>
  <c r="F541" i="51"/>
  <c r="F540" i="51"/>
  <c r="F539" i="51"/>
  <c r="F538" i="51"/>
  <c r="F537" i="51"/>
  <c r="F536" i="51"/>
  <c r="F535" i="51"/>
  <c r="F534" i="51"/>
  <c r="F533" i="51"/>
  <c r="F532" i="51"/>
  <c r="F531" i="51"/>
  <c r="F530" i="51"/>
  <c r="F529" i="51"/>
  <c r="F528" i="51"/>
  <c r="F527" i="51"/>
  <c r="F526" i="51"/>
  <c r="F525" i="51"/>
  <c r="F524" i="51"/>
  <c r="F523" i="51"/>
  <c r="F522" i="51"/>
  <c r="F521" i="51"/>
  <c r="F520" i="51"/>
  <c r="F519" i="51"/>
  <c r="F518" i="51"/>
  <c r="F517" i="51"/>
  <c r="F516" i="51"/>
  <c r="F515" i="51"/>
  <c r="F514" i="51"/>
  <c r="F513" i="51"/>
  <c r="F512" i="51"/>
  <c r="F511" i="51"/>
  <c r="F510" i="51"/>
  <c r="F509" i="51"/>
  <c r="F508" i="51"/>
  <c r="F507" i="51"/>
  <c r="F506" i="51"/>
  <c r="F505" i="51"/>
  <c r="F504" i="51"/>
  <c r="F503" i="51"/>
  <c r="F502" i="51"/>
  <c r="F501" i="51"/>
  <c r="F500" i="51"/>
  <c r="F499" i="51"/>
  <c r="F498" i="51"/>
  <c r="F497" i="51"/>
  <c r="F496" i="51"/>
  <c r="F495" i="51"/>
  <c r="F494" i="51"/>
  <c r="F493" i="51"/>
  <c r="F492" i="51"/>
  <c r="F491" i="51"/>
  <c r="F490" i="51"/>
  <c r="F489" i="51"/>
  <c r="F488" i="51"/>
  <c r="F487" i="51"/>
  <c r="F486" i="51"/>
  <c r="F485" i="51"/>
  <c r="F484" i="51"/>
  <c r="F483" i="51"/>
  <c r="F482" i="51"/>
  <c r="F481" i="51"/>
  <c r="F480" i="51"/>
  <c r="F479" i="51"/>
  <c r="F478" i="51"/>
  <c r="F477" i="51"/>
  <c r="F476" i="51"/>
  <c r="F475" i="51"/>
  <c r="F474" i="51"/>
  <c r="F473" i="51"/>
  <c r="F472" i="51"/>
  <c r="F471" i="51"/>
  <c r="F470" i="51"/>
  <c r="F469" i="51"/>
  <c r="F468" i="51"/>
  <c r="F467" i="51"/>
  <c r="F466" i="51"/>
  <c r="F465" i="51"/>
  <c r="F464" i="51"/>
  <c r="F463" i="51"/>
  <c r="F462" i="51"/>
  <c r="F461" i="51"/>
  <c r="F460" i="51"/>
  <c r="F459" i="51"/>
  <c r="F458" i="51"/>
  <c r="F457" i="51"/>
  <c r="F456" i="51"/>
  <c r="F455" i="51"/>
  <c r="F454" i="51"/>
  <c r="F453" i="51"/>
  <c r="F452" i="51"/>
  <c r="F451" i="51"/>
  <c r="F450" i="51"/>
  <c r="F449" i="51"/>
  <c r="F448" i="51"/>
  <c r="F447" i="51"/>
  <c r="F446" i="51"/>
  <c r="F445" i="51"/>
  <c r="F444" i="51"/>
  <c r="F443" i="51"/>
  <c r="F442" i="51"/>
  <c r="F441" i="51"/>
  <c r="F440" i="51"/>
  <c r="F439" i="51"/>
  <c r="F438" i="51"/>
  <c r="F437" i="51"/>
  <c r="F436" i="51"/>
  <c r="F435" i="51"/>
  <c r="F434" i="51"/>
  <c r="F433" i="51"/>
  <c r="F432" i="51"/>
  <c r="F431" i="51"/>
  <c r="F430" i="51"/>
  <c r="F429" i="51"/>
  <c r="F428" i="51"/>
  <c r="F427" i="51"/>
  <c r="F426" i="51"/>
  <c r="F425" i="51"/>
  <c r="F424" i="51"/>
  <c r="F423" i="51"/>
  <c r="F422" i="51"/>
  <c r="F421" i="51"/>
  <c r="F420" i="51"/>
  <c r="F419" i="51"/>
  <c r="F418" i="51"/>
  <c r="F417" i="51"/>
  <c r="F416" i="51"/>
  <c r="F415" i="51"/>
  <c r="F414" i="51"/>
  <c r="F413" i="51"/>
  <c r="F412" i="51"/>
  <c r="F411" i="51"/>
  <c r="F410" i="51"/>
  <c r="F409" i="51"/>
  <c r="F408" i="51"/>
  <c r="F407" i="51"/>
  <c r="F406" i="51"/>
  <c r="F405" i="51"/>
  <c r="F404" i="51"/>
  <c r="F403" i="51"/>
  <c r="F402" i="51"/>
  <c r="F401" i="51"/>
  <c r="F400" i="51"/>
  <c r="F399" i="51"/>
  <c r="F398" i="51"/>
  <c r="F397" i="51"/>
  <c r="F396" i="51"/>
  <c r="F395" i="51"/>
  <c r="F394" i="51"/>
  <c r="F393" i="51"/>
  <c r="F392" i="51"/>
  <c r="F391" i="51"/>
  <c r="F390" i="51"/>
  <c r="F389" i="51"/>
  <c r="F388" i="51"/>
  <c r="F387" i="51"/>
  <c r="F386" i="51"/>
  <c r="F385" i="51"/>
  <c r="F384" i="51"/>
  <c r="F383" i="51"/>
  <c r="F382" i="51"/>
  <c r="F381" i="51"/>
  <c r="F380" i="51"/>
  <c r="F379" i="51"/>
  <c r="F378" i="51"/>
  <c r="F377" i="51"/>
  <c r="F376" i="51"/>
  <c r="F375" i="51"/>
  <c r="F374" i="51"/>
  <c r="F373" i="51"/>
  <c r="F372" i="51"/>
  <c r="F371" i="51"/>
  <c r="F370" i="51"/>
  <c r="F369" i="51"/>
  <c r="F368" i="51"/>
  <c r="F367" i="51"/>
  <c r="F366" i="51"/>
  <c r="F365" i="51"/>
  <c r="F364" i="51"/>
  <c r="F363" i="51"/>
  <c r="F362" i="51"/>
  <c r="F361" i="51"/>
  <c r="F360" i="51"/>
  <c r="F359" i="51"/>
  <c r="F358" i="51"/>
  <c r="F357" i="51"/>
  <c r="F356" i="51"/>
  <c r="F355" i="51"/>
  <c r="F354" i="51"/>
  <c r="F353" i="51"/>
  <c r="F352" i="51"/>
  <c r="F351" i="51"/>
  <c r="F350" i="51"/>
  <c r="F349" i="51"/>
  <c r="F348" i="51"/>
  <c r="F347" i="51"/>
  <c r="F346" i="51"/>
  <c r="F345" i="51"/>
  <c r="F344" i="51"/>
  <c r="F343" i="51"/>
  <c r="F342" i="51"/>
  <c r="F341" i="51"/>
  <c r="F340" i="51"/>
  <c r="F339" i="51"/>
  <c r="F338" i="51"/>
  <c r="F337" i="51"/>
  <c r="F336" i="51"/>
  <c r="F335" i="51"/>
  <c r="F334" i="51"/>
  <c r="F333" i="51"/>
  <c r="F332" i="51"/>
  <c r="F331" i="51"/>
  <c r="F330" i="51"/>
  <c r="F329" i="51"/>
  <c r="F328" i="51"/>
  <c r="F327" i="51"/>
  <c r="F326" i="51"/>
  <c r="F325" i="51"/>
  <c r="F324" i="51"/>
  <c r="F323" i="51"/>
  <c r="F322" i="51"/>
  <c r="F321" i="51"/>
  <c r="F320" i="51"/>
  <c r="F319" i="51"/>
  <c r="F318" i="51"/>
  <c r="F317" i="51"/>
  <c r="F316" i="51"/>
  <c r="F315" i="51"/>
  <c r="F314" i="51"/>
  <c r="F313" i="51"/>
  <c r="F312" i="51"/>
  <c r="F311" i="51"/>
  <c r="F310" i="51"/>
  <c r="F309" i="51"/>
  <c r="F308" i="51"/>
  <c r="F307" i="51"/>
  <c r="F306" i="51"/>
  <c r="F305" i="51"/>
  <c r="F304" i="51"/>
  <c r="F303" i="51"/>
  <c r="F302" i="51"/>
  <c r="F301" i="51"/>
  <c r="F300" i="51"/>
  <c r="F299" i="51"/>
  <c r="F298" i="51"/>
  <c r="F297" i="51"/>
  <c r="F296" i="51"/>
  <c r="F295" i="51"/>
  <c r="F294" i="51"/>
  <c r="F293" i="51"/>
  <c r="F292" i="51"/>
  <c r="F291" i="51"/>
  <c r="F290" i="51"/>
  <c r="F289" i="51"/>
  <c r="F288" i="51"/>
  <c r="F287" i="51"/>
  <c r="F286" i="51"/>
  <c r="F285" i="51"/>
  <c r="F284" i="51"/>
  <c r="F283" i="51"/>
  <c r="F282" i="51"/>
  <c r="F281" i="51"/>
  <c r="F280" i="51"/>
  <c r="F279" i="51"/>
  <c r="F278" i="51"/>
  <c r="F277" i="51"/>
  <c r="F276" i="51"/>
  <c r="F275" i="51"/>
  <c r="F274" i="51"/>
  <c r="F273" i="51"/>
  <c r="F272" i="51"/>
  <c r="F271" i="51"/>
  <c r="F270" i="51"/>
  <c r="F269" i="51"/>
  <c r="F268" i="51"/>
  <c r="F267" i="51"/>
  <c r="F266" i="51"/>
  <c r="F265" i="51"/>
  <c r="F264" i="51"/>
  <c r="F263" i="51"/>
  <c r="F262" i="51"/>
  <c r="F261" i="51"/>
  <c r="F260" i="51"/>
  <c r="F259" i="51"/>
  <c r="F258" i="51"/>
  <c r="F257" i="51"/>
  <c r="F256" i="51"/>
  <c r="F255" i="51"/>
  <c r="F254" i="51"/>
  <c r="F253" i="51"/>
  <c r="F252" i="51"/>
  <c r="F251" i="51"/>
  <c r="F250" i="51"/>
  <c r="F249" i="51"/>
  <c r="F248" i="51"/>
  <c r="F247" i="51"/>
  <c r="F246" i="51"/>
  <c r="F245" i="51"/>
  <c r="F244" i="51"/>
  <c r="F243" i="51"/>
  <c r="F242" i="51"/>
  <c r="F241" i="51"/>
  <c r="F240" i="51"/>
  <c r="F239" i="51"/>
  <c r="F238" i="51"/>
  <c r="F237" i="51"/>
  <c r="F236" i="51"/>
  <c r="F235" i="51"/>
  <c r="F234" i="51"/>
  <c r="F233" i="51"/>
  <c r="F232" i="51"/>
  <c r="F231" i="51"/>
  <c r="F230" i="51"/>
  <c r="F229" i="51"/>
  <c r="F228" i="51"/>
  <c r="F227" i="51"/>
  <c r="F226" i="51"/>
  <c r="F225" i="51"/>
  <c r="F224" i="51"/>
  <c r="F223" i="51"/>
  <c r="F222" i="51"/>
  <c r="F221" i="51"/>
  <c r="F220" i="51"/>
  <c r="F219" i="51"/>
  <c r="F218" i="51"/>
  <c r="F217" i="51"/>
  <c r="F216" i="51"/>
  <c r="F215" i="51"/>
  <c r="F214" i="51"/>
  <c r="F213" i="51"/>
  <c r="F212" i="51"/>
  <c r="F211" i="51"/>
  <c r="F210" i="51"/>
  <c r="F209" i="51"/>
  <c r="F208" i="51"/>
  <c r="F207" i="51"/>
  <c r="F206" i="51"/>
  <c r="F205" i="51"/>
  <c r="F204" i="51"/>
  <c r="F203" i="51"/>
  <c r="F202" i="51"/>
  <c r="F201" i="51"/>
  <c r="F200" i="51"/>
  <c r="F199" i="51"/>
  <c r="F198" i="51"/>
  <c r="F197" i="51"/>
  <c r="F196" i="51"/>
  <c r="F195" i="51"/>
  <c r="F194" i="51"/>
  <c r="F193" i="51"/>
  <c r="F192" i="51"/>
  <c r="F191" i="51"/>
  <c r="F190" i="51"/>
  <c r="F189" i="51"/>
  <c r="F188" i="51"/>
  <c r="F187" i="51"/>
  <c r="F186" i="51"/>
  <c r="F185" i="51"/>
  <c r="F184" i="51"/>
  <c r="F183" i="51"/>
  <c r="F182" i="51"/>
  <c r="F181" i="51"/>
  <c r="F180" i="51"/>
  <c r="F179" i="51"/>
  <c r="F178" i="51"/>
  <c r="F177" i="51"/>
  <c r="F176" i="51"/>
  <c r="F175" i="51"/>
  <c r="F174" i="51"/>
  <c r="F173" i="51"/>
  <c r="F172" i="51"/>
  <c r="F171" i="51"/>
  <c r="F170" i="51"/>
  <c r="F169" i="51"/>
  <c r="F168" i="51"/>
  <c r="F167" i="51"/>
  <c r="F166" i="51"/>
  <c r="F165" i="51"/>
  <c r="F164" i="51"/>
  <c r="F163" i="51"/>
  <c r="F162" i="51"/>
  <c r="F161" i="51"/>
  <c r="F160" i="51"/>
  <c r="F159" i="51"/>
  <c r="F158" i="51"/>
  <c r="F157" i="51"/>
  <c r="F156" i="51"/>
  <c r="F155" i="51"/>
  <c r="F154" i="51"/>
  <c r="F153" i="51"/>
  <c r="F152" i="51"/>
  <c r="F151" i="51"/>
  <c r="F150" i="51"/>
  <c r="F149" i="51"/>
  <c r="F148" i="51"/>
  <c r="F147" i="51"/>
  <c r="F146" i="51"/>
  <c r="F145" i="51"/>
  <c r="F144" i="51"/>
  <c r="F143" i="51"/>
  <c r="F142" i="51"/>
  <c r="F141" i="51"/>
  <c r="F140" i="51"/>
  <c r="F139" i="51"/>
  <c r="F138" i="51"/>
  <c r="F137" i="51"/>
  <c r="F136" i="51"/>
  <c r="F135" i="51"/>
  <c r="F134" i="51"/>
  <c r="F133" i="51"/>
  <c r="F132" i="51"/>
  <c r="F131" i="51"/>
  <c r="F130" i="51"/>
  <c r="F129" i="51"/>
  <c r="F128" i="51"/>
  <c r="F127" i="51"/>
  <c r="F126" i="51"/>
  <c r="F125" i="51"/>
  <c r="F124" i="51"/>
  <c r="F123" i="51"/>
  <c r="F122" i="51"/>
  <c r="F121" i="51"/>
  <c r="F120" i="51"/>
  <c r="F119" i="51"/>
  <c r="F118" i="51"/>
  <c r="F117" i="51"/>
  <c r="F116" i="51"/>
  <c r="F115" i="51"/>
  <c r="F114" i="51"/>
  <c r="F113" i="51"/>
  <c r="F112" i="51"/>
  <c r="F111" i="51"/>
  <c r="F110" i="51"/>
  <c r="F109" i="51"/>
  <c r="F108" i="51"/>
  <c r="F107" i="51"/>
  <c r="F106" i="51"/>
  <c r="F105" i="51"/>
  <c r="F104" i="51"/>
  <c r="F103" i="51"/>
  <c r="F102" i="51"/>
  <c r="F101" i="51"/>
  <c r="F100" i="51"/>
  <c r="F99" i="51"/>
  <c r="F98" i="51"/>
  <c r="F97" i="51"/>
  <c r="F96" i="51"/>
  <c r="F95" i="51"/>
  <c r="F94" i="51"/>
  <c r="F93" i="51"/>
  <c r="F92" i="51"/>
  <c r="F91" i="51"/>
  <c r="F90" i="51"/>
  <c r="F89" i="51"/>
  <c r="F88" i="51"/>
  <c r="F87" i="51"/>
  <c r="F86" i="51"/>
  <c r="F85" i="51"/>
  <c r="F84" i="51"/>
  <c r="F83" i="51"/>
  <c r="F82" i="51"/>
  <c r="F81" i="51"/>
  <c r="F80" i="51"/>
  <c r="F79" i="51"/>
  <c r="F78" i="51"/>
  <c r="F77" i="51"/>
  <c r="F76" i="51"/>
  <c r="F75" i="51"/>
  <c r="F74" i="51"/>
  <c r="F73" i="51"/>
  <c r="F72" i="51"/>
  <c r="F71" i="51"/>
  <c r="F70" i="51"/>
  <c r="F69" i="51"/>
  <c r="F68" i="51"/>
  <c r="F67" i="51"/>
  <c r="F66" i="51"/>
  <c r="F65" i="51"/>
  <c r="F64" i="51"/>
  <c r="F63" i="51"/>
  <c r="F62" i="51"/>
  <c r="F61" i="51"/>
  <c r="F60" i="51"/>
  <c r="F59" i="51"/>
  <c r="F58" i="51"/>
  <c r="F57" i="51"/>
  <c r="F56" i="51"/>
  <c r="F55" i="51"/>
  <c r="F54" i="51"/>
  <c r="F53" i="51"/>
  <c r="F52" i="51"/>
  <c r="F51" i="51"/>
  <c r="F50" i="51"/>
  <c r="F49" i="51"/>
  <c r="F48" i="51"/>
  <c r="F47" i="51"/>
  <c r="F46" i="51"/>
  <c r="F45" i="51"/>
  <c r="F44" i="51"/>
  <c r="F43" i="51"/>
  <c r="F42" i="51"/>
  <c r="F41" i="51"/>
  <c r="F40" i="51"/>
  <c r="F39" i="51"/>
  <c r="F38" i="51"/>
  <c r="F37" i="51"/>
  <c r="F36" i="51"/>
  <c r="F35" i="51"/>
  <c r="F34" i="51"/>
  <c r="F33" i="51"/>
  <c r="F32" i="51"/>
  <c r="F31" i="51"/>
  <c r="F30" i="51"/>
  <c r="F29" i="51"/>
  <c r="F28" i="51"/>
  <c r="F27" i="51"/>
  <c r="F26" i="51"/>
  <c r="F25" i="51"/>
  <c r="F24" i="51"/>
  <c r="F23" i="51"/>
  <c r="F22" i="51"/>
  <c r="F21" i="51"/>
  <c r="F20" i="51"/>
  <c r="F19" i="51"/>
  <c r="F18" i="51"/>
  <c r="F17" i="51"/>
  <c r="F16" i="51"/>
  <c r="F15" i="51"/>
  <c r="F14" i="51"/>
  <c r="F13" i="51"/>
  <c r="F12" i="51"/>
  <c r="F11" i="51"/>
  <c r="F10" i="51"/>
  <c r="F9" i="51"/>
  <c r="F8" i="51"/>
  <c r="F7" i="51"/>
  <c r="F6" i="51"/>
  <c r="F5" i="51"/>
  <c r="F4" i="51"/>
  <c r="F3" i="51"/>
  <c r="F2" i="51"/>
  <c r="D97" i="50"/>
  <c r="D205" i="50"/>
  <c r="D204" i="50"/>
  <c r="D57" i="50"/>
  <c r="V83" i="9"/>
  <c r="U83" i="9"/>
  <c r="T83" i="9"/>
  <c r="S83" i="9"/>
  <c r="R83" i="9"/>
  <c r="Q83" i="9"/>
  <c r="P83" i="9"/>
  <c r="O83" i="9"/>
  <c r="N83" i="9"/>
  <c r="M83" i="9"/>
  <c r="L83" i="9"/>
  <c r="K83" i="9"/>
  <c r="J83" i="9"/>
  <c r="I83" i="9"/>
  <c r="G83" i="9"/>
  <c r="E83" i="9"/>
  <c r="C83" i="9"/>
  <c r="B83" i="9"/>
  <c r="D178" i="50"/>
  <c r="D201" i="50"/>
  <c r="B2" i="13"/>
  <c r="A2" i="11"/>
  <c r="D112" i="50"/>
  <c r="C36" i="50"/>
  <c r="V79" i="9"/>
  <c r="U79" i="9"/>
  <c r="T79" i="9"/>
  <c r="S79" i="9"/>
  <c r="R79" i="9"/>
  <c r="Q79" i="9"/>
  <c r="P79" i="9"/>
  <c r="O79" i="9"/>
  <c r="N79" i="9"/>
  <c r="M79" i="9"/>
  <c r="L79" i="9"/>
  <c r="K79" i="9"/>
  <c r="J79" i="9"/>
  <c r="I79" i="9"/>
  <c r="G79" i="9"/>
  <c r="E79" i="9"/>
  <c r="C79" i="9"/>
  <c r="B79" i="9"/>
  <c r="D46" i="50"/>
  <c r="C139" i="50"/>
  <c r="C180" i="50"/>
  <c r="L35" i="43"/>
  <c r="L31" i="43"/>
  <c r="V75" i="9"/>
  <c r="U75" i="9"/>
  <c r="T75" i="9"/>
  <c r="S75" i="9"/>
  <c r="R75" i="9"/>
  <c r="Q75" i="9"/>
  <c r="P75" i="9"/>
  <c r="O75" i="9"/>
  <c r="M75" i="9"/>
  <c r="K75" i="9"/>
  <c r="I75" i="9"/>
  <c r="G75" i="9"/>
  <c r="E75" i="9"/>
  <c r="C75" i="9"/>
  <c r="V71" i="9"/>
  <c r="U71" i="9"/>
  <c r="T71" i="9"/>
  <c r="S71" i="9"/>
  <c r="R71" i="9"/>
  <c r="Q71" i="9"/>
  <c r="P71" i="9"/>
  <c r="O71" i="9"/>
  <c r="M71" i="9"/>
  <c r="K71" i="9"/>
  <c r="I71" i="9"/>
  <c r="G71" i="9"/>
  <c r="E71" i="9"/>
  <c r="C71" i="9"/>
  <c r="V67" i="9"/>
  <c r="U67" i="9"/>
  <c r="T67" i="9"/>
  <c r="S67" i="9"/>
  <c r="R67" i="9"/>
  <c r="Q67" i="9"/>
  <c r="P67" i="9"/>
  <c r="O67" i="9"/>
  <c r="M67" i="9"/>
  <c r="K67" i="9"/>
  <c r="I67" i="9"/>
  <c r="G67" i="9"/>
  <c r="E67" i="9"/>
  <c r="C67" i="9"/>
  <c r="V63" i="9"/>
  <c r="U63" i="9"/>
  <c r="T63" i="9"/>
  <c r="S63" i="9"/>
  <c r="R63" i="9"/>
  <c r="Q63" i="9"/>
  <c r="P63" i="9"/>
  <c r="O63" i="9"/>
  <c r="M63" i="9"/>
  <c r="K63" i="9"/>
  <c r="I63" i="9"/>
  <c r="G63" i="9"/>
  <c r="E63" i="9"/>
  <c r="C63" i="9"/>
  <c r="V59" i="9"/>
  <c r="U59" i="9"/>
  <c r="T59" i="9"/>
  <c r="S59" i="9"/>
  <c r="R59" i="9"/>
  <c r="Q59" i="9"/>
  <c r="P59" i="9"/>
  <c r="O59" i="9"/>
  <c r="M59" i="9"/>
  <c r="K59" i="9"/>
  <c r="I59" i="9"/>
  <c r="G59" i="9"/>
  <c r="E59" i="9"/>
  <c r="C59" i="9"/>
  <c r="V55" i="9"/>
  <c r="U55" i="9"/>
  <c r="T55" i="9"/>
  <c r="S55" i="9"/>
  <c r="R55" i="9"/>
  <c r="Q55" i="9"/>
  <c r="P55" i="9"/>
  <c r="O55" i="9"/>
  <c r="M55" i="9"/>
  <c r="K55" i="9"/>
  <c r="I55" i="9"/>
  <c r="G55" i="9"/>
  <c r="E55" i="9"/>
  <c r="C55" i="9"/>
  <c r="V50" i="9"/>
  <c r="U50" i="9"/>
  <c r="T50" i="9"/>
  <c r="S50" i="9"/>
  <c r="R50" i="9"/>
  <c r="Q50" i="9"/>
  <c r="P50" i="9"/>
  <c r="O50" i="9"/>
  <c r="M50" i="9"/>
  <c r="K50" i="9"/>
  <c r="I50" i="9"/>
  <c r="H50" i="9"/>
  <c r="G50" i="9"/>
  <c r="E50" i="9"/>
  <c r="C50" i="9"/>
  <c r="D203" i="50"/>
  <c r="D157" i="50"/>
  <c r="D121" i="50"/>
  <c r="C215" i="50"/>
  <c r="C135" i="50"/>
  <c r="C214" i="50"/>
  <c r="C134" i="50"/>
  <c r="C210" i="50"/>
  <c r="D196" i="50"/>
  <c r="D193" i="50"/>
  <c r="D186" i="50"/>
  <c r="D185" i="50"/>
  <c r="D182" i="50"/>
  <c r="D184" i="50"/>
  <c r="D171" i="50"/>
  <c r="D172" i="50"/>
  <c r="D152" i="50"/>
  <c r="D148" i="50"/>
  <c r="D35" i="50"/>
  <c r="D29" i="50"/>
  <c r="C109" i="50"/>
  <c r="C73" i="50"/>
  <c r="C72" i="50"/>
  <c r="C65" i="50"/>
  <c r="C64" i="50"/>
  <c r="C63" i="50"/>
  <c r="C128" i="50"/>
  <c r="C126" i="50"/>
  <c r="C124" i="50"/>
  <c r="D92" i="50"/>
  <c r="D90" i="50"/>
  <c r="X24" i="38"/>
  <c r="W24" i="38"/>
  <c r="V24" i="38"/>
  <c r="U24" i="38"/>
  <c r="T24" i="38"/>
  <c r="S24" i="38"/>
  <c r="R24" i="38"/>
  <c r="Q24" i="38"/>
  <c r="P24" i="38"/>
  <c r="O24" i="38"/>
  <c r="N24" i="38"/>
  <c r="M24" i="38"/>
  <c r="L24" i="38"/>
  <c r="J24" i="38"/>
  <c r="H24" i="38"/>
  <c r="F24" i="38"/>
  <c r="D24" i="38"/>
  <c r="C24" i="38"/>
  <c r="B24" i="38"/>
  <c r="A24" i="38"/>
  <c r="X24" i="43"/>
  <c r="W24" i="43"/>
  <c r="V24" i="43"/>
  <c r="U24" i="43"/>
  <c r="T24" i="43"/>
  <c r="S24" i="43"/>
  <c r="R24" i="43"/>
  <c r="Q24" i="43"/>
  <c r="P24" i="43"/>
  <c r="O24" i="43"/>
  <c r="N24" i="43"/>
  <c r="M24" i="43"/>
  <c r="L24" i="43"/>
  <c r="K24" i="43"/>
  <c r="J24" i="43"/>
  <c r="I24" i="43"/>
  <c r="H24" i="43"/>
  <c r="G24" i="43"/>
  <c r="F24" i="43"/>
  <c r="E24" i="43"/>
  <c r="D24" i="43"/>
  <c r="C24" i="43"/>
  <c r="B24" i="43"/>
  <c r="A24" i="43"/>
  <c r="X24" i="34"/>
  <c r="W24" i="34"/>
  <c r="V24" i="34"/>
  <c r="U24" i="34"/>
  <c r="T24" i="34"/>
  <c r="S24" i="34"/>
  <c r="R24" i="34"/>
  <c r="Q24" i="34"/>
  <c r="P24" i="34"/>
  <c r="O24" i="34"/>
  <c r="N24" i="34"/>
  <c r="M24" i="34"/>
  <c r="L24" i="34"/>
  <c r="K24" i="34"/>
  <c r="J24" i="34"/>
  <c r="I24" i="34"/>
  <c r="H24" i="34"/>
  <c r="G24" i="34"/>
  <c r="F24" i="34"/>
  <c r="E24" i="34"/>
  <c r="D24" i="34"/>
  <c r="C24" i="34"/>
  <c r="B24" i="34"/>
  <c r="A24" i="34"/>
  <c r="K3" i="38"/>
  <c r="K24" i="38"/>
  <c r="I3" i="38"/>
  <c r="I24" i="38"/>
  <c r="G3" i="38"/>
  <c r="G24" i="38"/>
  <c r="E3" i="38"/>
  <c r="E24" i="38"/>
  <c r="R24" i="31"/>
  <c r="Q24" i="31"/>
  <c r="P24" i="31"/>
  <c r="O24" i="31"/>
  <c r="N24" i="31"/>
  <c r="M24" i="31"/>
  <c r="L24" i="31"/>
  <c r="K24" i="31"/>
  <c r="J24" i="31"/>
  <c r="I24" i="31"/>
  <c r="H24" i="31"/>
  <c r="G24" i="31"/>
  <c r="F24" i="31"/>
  <c r="E24" i="31"/>
  <c r="D24" i="31"/>
  <c r="C24" i="31"/>
  <c r="B24" i="31"/>
  <c r="A24" i="31"/>
  <c r="V24" i="9"/>
  <c r="M24" i="9"/>
  <c r="L24" i="9"/>
  <c r="K24" i="9"/>
  <c r="J24" i="9"/>
  <c r="I24" i="9"/>
  <c r="H24" i="9"/>
  <c r="G24" i="9"/>
  <c r="F24" i="9"/>
  <c r="E24" i="9"/>
  <c r="D24" i="9"/>
  <c r="C24" i="9"/>
  <c r="B24" i="9"/>
  <c r="A24" i="9"/>
  <c r="L24" i="32"/>
  <c r="K24" i="32"/>
  <c r="J24" i="32"/>
  <c r="I24" i="32"/>
  <c r="H24" i="32"/>
  <c r="G24" i="32"/>
  <c r="F24" i="32"/>
  <c r="E24" i="32"/>
  <c r="D24" i="32"/>
  <c r="C24" i="32"/>
  <c r="B24" i="32"/>
  <c r="A24" i="32"/>
  <c r="N24" i="36"/>
  <c r="M24" i="36"/>
  <c r="L24" i="36"/>
  <c r="K24" i="36"/>
  <c r="J24" i="36"/>
  <c r="I24" i="36"/>
  <c r="H24" i="36"/>
  <c r="G24" i="36"/>
  <c r="F24" i="36"/>
  <c r="E24" i="36"/>
  <c r="D24" i="36"/>
  <c r="C24" i="36"/>
  <c r="R34" i="31"/>
  <c r="Q34" i="31"/>
  <c r="P34" i="31"/>
  <c r="O34" i="31"/>
  <c r="N34" i="31"/>
  <c r="M34" i="31"/>
  <c r="R33" i="31"/>
  <c r="Q33" i="31"/>
  <c r="P33" i="31"/>
  <c r="O33" i="31"/>
  <c r="N33" i="31"/>
  <c r="M33" i="31"/>
  <c r="R32" i="31"/>
  <c r="Q32" i="31"/>
  <c r="P32" i="31"/>
  <c r="O32" i="31"/>
  <c r="N32" i="31"/>
  <c r="M32" i="31"/>
  <c r="R31" i="31"/>
  <c r="Q31" i="31"/>
  <c r="P31" i="31"/>
  <c r="O31" i="31"/>
  <c r="N31" i="31"/>
  <c r="M31" i="31"/>
  <c r="R30" i="31"/>
  <c r="Q30" i="31"/>
  <c r="P30" i="31"/>
  <c r="O30" i="31"/>
  <c r="N30" i="31"/>
  <c r="M30" i="31"/>
  <c r="R29" i="31"/>
  <c r="Q29" i="31"/>
  <c r="P29" i="31"/>
  <c r="O29" i="31"/>
  <c r="N29" i="31"/>
  <c r="M29" i="31"/>
  <c r="R28" i="31"/>
  <c r="Q28" i="31"/>
  <c r="P28" i="31"/>
  <c r="O28" i="31"/>
  <c r="N28" i="31"/>
  <c r="M28" i="31"/>
  <c r="V34" i="9"/>
  <c r="U34" i="9"/>
  <c r="T34" i="9"/>
  <c r="S34" i="9"/>
  <c r="R34" i="9"/>
  <c r="Q34" i="9"/>
  <c r="V33" i="9"/>
  <c r="U33" i="9"/>
  <c r="T33" i="9"/>
  <c r="S33" i="9"/>
  <c r="R33" i="9"/>
  <c r="Q33" i="9"/>
  <c r="V32" i="9"/>
  <c r="U32" i="9"/>
  <c r="T32" i="9"/>
  <c r="S32" i="9"/>
  <c r="R32" i="9"/>
  <c r="Q32" i="9"/>
  <c r="V31" i="9"/>
  <c r="U31" i="9"/>
  <c r="T31" i="9"/>
  <c r="S31" i="9"/>
  <c r="R31" i="9"/>
  <c r="Q31" i="9"/>
  <c r="V30" i="9"/>
  <c r="U30" i="9"/>
  <c r="T30" i="9"/>
  <c r="S30" i="9"/>
  <c r="R30" i="9"/>
  <c r="Q30" i="9"/>
  <c r="V29" i="9"/>
  <c r="U29" i="9"/>
  <c r="T29" i="9"/>
  <c r="S29" i="9"/>
  <c r="R29" i="9"/>
  <c r="Q29" i="9"/>
  <c r="V28" i="9"/>
  <c r="U28" i="9"/>
  <c r="T28" i="9"/>
  <c r="S28" i="9"/>
  <c r="R28" i="9"/>
  <c r="Q28" i="9"/>
  <c r="C500" i="55"/>
  <c r="C499" i="55"/>
  <c r="C498" i="55"/>
  <c r="C876" i="51"/>
  <c r="D871" i="51"/>
  <c r="G868" i="51"/>
  <c r="E866" i="51"/>
  <c r="C864" i="51"/>
  <c r="D859" i="51"/>
  <c r="G856" i="51"/>
  <c r="E854" i="51"/>
  <c r="G851" i="51"/>
  <c r="D849" i="51"/>
  <c r="G846" i="51"/>
  <c r="E844" i="51"/>
  <c r="C842" i="51"/>
  <c r="D837" i="51"/>
  <c r="G834" i="51"/>
  <c r="E832" i="51"/>
  <c r="C830" i="51"/>
  <c r="D825" i="51"/>
  <c r="G822" i="51"/>
  <c r="E820" i="51"/>
  <c r="C818" i="51"/>
  <c r="D813" i="51"/>
  <c r="G810" i="51"/>
  <c r="E808" i="51"/>
  <c r="C806" i="51"/>
  <c r="D803" i="51"/>
  <c r="D800" i="51"/>
  <c r="D797" i="51"/>
  <c r="G794" i="51"/>
  <c r="E792" i="51"/>
  <c r="C790" i="51"/>
  <c r="D785" i="51"/>
  <c r="G782" i="51"/>
  <c r="D780" i="51"/>
  <c r="D777" i="51"/>
  <c r="D774" i="51"/>
  <c r="D769" i="51"/>
  <c r="G766" i="51"/>
  <c r="E764" i="51"/>
  <c r="C762" i="51"/>
  <c r="D757" i="51"/>
  <c r="D752" i="51"/>
  <c r="G749" i="51"/>
  <c r="E747" i="51"/>
  <c r="C745" i="51"/>
  <c r="E742" i="51"/>
  <c r="C740" i="51"/>
  <c r="E737" i="51"/>
  <c r="C735" i="51"/>
  <c r="D730" i="51"/>
  <c r="G727" i="51"/>
  <c r="E725" i="51"/>
  <c r="C723" i="51"/>
  <c r="D718" i="51"/>
  <c r="G715" i="51"/>
  <c r="E713" i="51"/>
  <c r="C711" i="51"/>
  <c r="D706" i="51"/>
  <c r="D701" i="51"/>
  <c r="G698" i="51"/>
  <c r="E696" i="51"/>
  <c r="C694" i="51"/>
  <c r="D689" i="51"/>
  <c r="G686" i="51"/>
  <c r="E684" i="51"/>
  <c r="C682" i="51"/>
  <c r="D677" i="51"/>
  <c r="D672" i="51"/>
  <c r="G669" i="51"/>
  <c r="E667" i="51"/>
  <c r="C665" i="51"/>
  <c r="E662" i="51"/>
  <c r="C660" i="51"/>
  <c r="D657" i="51"/>
  <c r="G654" i="51"/>
  <c r="E652" i="51"/>
  <c r="C650" i="51"/>
  <c r="D645" i="51"/>
  <c r="D640" i="51"/>
  <c r="G637" i="51"/>
  <c r="E635" i="51"/>
  <c r="C633" i="51"/>
  <c r="D628" i="51"/>
  <c r="G625" i="51"/>
  <c r="E623" i="51"/>
  <c r="C621" i="51"/>
  <c r="D616" i="51"/>
  <c r="D611" i="51"/>
  <c r="E608" i="51"/>
  <c r="C606" i="51"/>
  <c r="D601" i="51"/>
  <c r="G598" i="51"/>
  <c r="D596" i="51"/>
  <c r="C497" i="55"/>
  <c r="G875" i="51"/>
  <c r="E873" i="51"/>
  <c r="C871" i="51"/>
  <c r="D866" i="51"/>
  <c r="G863" i="51"/>
  <c r="E861" i="51"/>
  <c r="C859" i="51"/>
  <c r="D854" i="51"/>
  <c r="C849" i="51"/>
  <c r="D844" i="51"/>
  <c r="G841" i="51"/>
  <c r="E839" i="51"/>
  <c r="C837" i="51"/>
  <c r="D832" i="51"/>
  <c r="G829" i="51"/>
  <c r="E827" i="51"/>
  <c r="C825" i="51"/>
  <c r="D820" i="51"/>
  <c r="G817" i="51"/>
  <c r="E815" i="51"/>
  <c r="C813" i="51"/>
  <c r="D808" i="51"/>
  <c r="C803" i="51"/>
  <c r="C800" i="51"/>
  <c r="C797" i="51"/>
  <c r="D792" i="51"/>
  <c r="G789" i="51"/>
  <c r="E787" i="51"/>
  <c r="C785" i="51"/>
  <c r="C780" i="51"/>
  <c r="C777" i="51"/>
  <c r="C774" i="51"/>
  <c r="E771" i="51"/>
  <c r="C769" i="51"/>
  <c r="D764" i="51"/>
  <c r="G761" i="51"/>
  <c r="E759" i="51"/>
  <c r="C757" i="51"/>
  <c r="E754" i="51"/>
  <c r="C752" i="51"/>
  <c r="D747" i="51"/>
  <c r="D742" i="51"/>
  <c r="G739" i="51"/>
  <c r="D737" i="51"/>
  <c r="G734" i="51"/>
  <c r="E732" i="51"/>
  <c r="C730" i="51"/>
  <c r="D725" i="51"/>
  <c r="G722" i="51"/>
  <c r="E720" i="51"/>
  <c r="C718" i="51"/>
  <c r="D713" i="51"/>
  <c r="G710" i="51"/>
  <c r="E708" i="51"/>
  <c r="C706" i="51"/>
  <c r="E703" i="51"/>
  <c r="C701" i="51"/>
  <c r="D696" i="51"/>
  <c r="G693" i="51"/>
  <c r="E691" i="51"/>
  <c r="C689" i="51"/>
  <c r="D684" i="51"/>
  <c r="G681" i="51"/>
  <c r="E679" i="51"/>
  <c r="C677" i="51"/>
  <c r="E674" i="51"/>
  <c r="C672" i="51"/>
  <c r="D667" i="51"/>
  <c r="G664" i="51"/>
  <c r="D662" i="51"/>
  <c r="C657" i="51"/>
  <c r="D652" i="51"/>
  <c r="G649" i="51"/>
  <c r="E647" i="51"/>
  <c r="C645" i="51"/>
  <c r="E642" i="51"/>
  <c r="C640" i="51"/>
  <c r="D635" i="51"/>
  <c r="G632" i="51"/>
  <c r="E630" i="51"/>
  <c r="C628" i="51"/>
  <c r="D623" i="51"/>
  <c r="G620" i="51"/>
  <c r="E618" i="51"/>
  <c r="C616" i="51"/>
  <c r="E613" i="51"/>
  <c r="C611" i="51"/>
  <c r="D608" i="51"/>
  <c r="G605" i="51"/>
  <c r="E603" i="51"/>
  <c r="C601" i="51"/>
  <c r="C596" i="51"/>
  <c r="E593" i="51"/>
  <c r="G590" i="51"/>
  <c r="E588" i="51"/>
  <c r="C586" i="51"/>
  <c r="D581" i="51"/>
  <c r="D576" i="51"/>
  <c r="G573" i="51"/>
  <c r="D571" i="51"/>
  <c r="D568" i="51"/>
  <c r="D565" i="51"/>
  <c r="D560" i="51"/>
  <c r="G557" i="51"/>
  <c r="D555" i="51"/>
  <c r="G552" i="51"/>
  <c r="E550" i="51"/>
  <c r="C548" i="51"/>
  <c r="D543" i="51"/>
  <c r="D538" i="51"/>
  <c r="G535" i="51"/>
  <c r="D533" i="51"/>
  <c r="G530" i="51"/>
  <c r="D528" i="51"/>
  <c r="G525" i="51"/>
  <c r="C496" i="55"/>
  <c r="D873" i="51"/>
  <c r="G870" i="51"/>
  <c r="E868" i="51"/>
  <c r="C866" i="51"/>
  <c r="D861" i="51"/>
  <c r="G858" i="51"/>
  <c r="E856" i="51"/>
  <c r="C854" i="51"/>
  <c r="E851" i="51"/>
  <c r="G848" i="51"/>
  <c r="E846" i="51"/>
  <c r="C844" i="51"/>
  <c r="D839" i="51"/>
  <c r="G836" i="51"/>
  <c r="E834" i="51"/>
  <c r="C832" i="51"/>
  <c r="D827" i="51"/>
  <c r="G824" i="51"/>
  <c r="E822" i="51"/>
  <c r="C820" i="51"/>
  <c r="D815" i="51"/>
  <c r="G812" i="51"/>
  <c r="E810" i="51"/>
  <c r="C808" i="51"/>
  <c r="E805" i="51"/>
  <c r="G796" i="51"/>
  <c r="E794" i="51"/>
  <c r="C792" i="51"/>
  <c r="D787" i="51"/>
  <c r="G784" i="51"/>
  <c r="E782" i="51"/>
  <c r="D771" i="51"/>
  <c r="G768" i="51"/>
  <c r="E766" i="51"/>
  <c r="C764" i="51"/>
  <c r="D759" i="51"/>
  <c r="G756" i="51"/>
  <c r="D754" i="51"/>
  <c r="G751" i="51"/>
  <c r="E749" i="51"/>
  <c r="C747" i="51"/>
  <c r="E744" i="51"/>
  <c r="C742" i="51"/>
  <c r="C737" i="51"/>
  <c r="D732" i="51"/>
  <c r="G729" i="51"/>
  <c r="E727" i="51"/>
  <c r="C725" i="51"/>
  <c r="D720" i="51"/>
  <c r="G717" i="51"/>
  <c r="E715" i="51"/>
  <c r="C713" i="51"/>
  <c r="D708" i="51"/>
  <c r="G705" i="51"/>
  <c r="D703" i="51"/>
  <c r="G700" i="51"/>
  <c r="E698" i="51"/>
  <c r="C696" i="51"/>
  <c r="D691" i="51"/>
  <c r="G688" i="51"/>
  <c r="E686" i="51"/>
  <c r="C684" i="51"/>
  <c r="D679" i="51"/>
  <c r="G676" i="51"/>
  <c r="D674" i="51"/>
  <c r="G671" i="51"/>
  <c r="E669" i="51"/>
  <c r="C667" i="51"/>
  <c r="C662" i="51"/>
  <c r="E659" i="51"/>
  <c r="G656" i="51"/>
  <c r="E654" i="51"/>
  <c r="C652" i="51"/>
  <c r="D647" i="51"/>
  <c r="G644" i="51"/>
  <c r="D642" i="51"/>
  <c r="G639" i="51"/>
  <c r="E637" i="51"/>
  <c r="C635" i="51"/>
  <c r="D630" i="51"/>
  <c r="G627" i="51"/>
  <c r="E625" i="51"/>
  <c r="C623" i="51"/>
  <c r="D618" i="51"/>
  <c r="G615" i="51"/>
  <c r="D613" i="51"/>
  <c r="C608" i="51"/>
  <c r="D603" i="51"/>
  <c r="G600" i="51"/>
  <c r="E598" i="51"/>
  <c r="G595" i="51"/>
  <c r="D593" i="51"/>
  <c r="D588" i="51"/>
  <c r="G585" i="51"/>
  <c r="E583" i="51"/>
  <c r="C581" i="51"/>
  <c r="E578" i="51"/>
  <c r="C576" i="51"/>
  <c r="C571" i="51"/>
  <c r="C568" i="51"/>
  <c r="C565" i="51"/>
  <c r="E562" i="51"/>
  <c r="C560" i="51"/>
  <c r="C555" i="51"/>
  <c r="D550" i="51"/>
  <c r="G547" i="51"/>
  <c r="E545" i="51"/>
  <c r="C543" i="51"/>
  <c r="E540" i="51"/>
  <c r="C538" i="51"/>
  <c r="C533" i="51"/>
  <c r="C528" i="51"/>
  <c r="C523" i="51"/>
  <c r="D520" i="51"/>
  <c r="D517" i="51"/>
  <c r="E514" i="51"/>
  <c r="C512" i="51"/>
  <c r="D507" i="51"/>
  <c r="G877" i="51"/>
  <c r="E875" i="51"/>
  <c r="C873" i="51"/>
  <c r="D868" i="51"/>
  <c r="G865" i="51"/>
  <c r="E863" i="51"/>
  <c r="C861" i="51"/>
  <c r="D856" i="51"/>
  <c r="G853" i="51"/>
  <c r="D851" i="51"/>
  <c r="D846" i="51"/>
  <c r="G843" i="51"/>
  <c r="E841" i="51"/>
  <c r="C839" i="51"/>
  <c r="D834" i="51"/>
  <c r="G831" i="51"/>
  <c r="E829" i="51"/>
  <c r="C827" i="51"/>
  <c r="D822" i="51"/>
  <c r="G819" i="51"/>
  <c r="E817" i="51"/>
  <c r="C815" i="51"/>
  <c r="D810" i="51"/>
  <c r="G807" i="51"/>
  <c r="D805" i="51"/>
  <c r="E802" i="51"/>
  <c r="E799" i="51"/>
  <c r="D794" i="51"/>
  <c r="G791" i="51"/>
  <c r="E789" i="51"/>
  <c r="C787" i="51"/>
  <c r="D782" i="51"/>
  <c r="E779" i="51"/>
  <c r="E776" i="51"/>
  <c r="E773" i="51"/>
  <c r="C771" i="51"/>
  <c r="D766" i="51"/>
  <c r="G763" i="51"/>
  <c r="E761" i="51"/>
  <c r="C759" i="51"/>
  <c r="C754" i="51"/>
  <c r="D749" i="51"/>
  <c r="G746" i="51"/>
  <c r="D744" i="51"/>
  <c r="G741" i="51"/>
  <c r="E739" i="51"/>
  <c r="G736" i="51"/>
  <c r="E734" i="51"/>
  <c r="C732" i="51"/>
  <c r="D727" i="51"/>
  <c r="G724" i="51"/>
  <c r="E722" i="51"/>
  <c r="C720" i="51"/>
  <c r="D715" i="51"/>
  <c r="G712" i="51"/>
  <c r="E710" i="51"/>
  <c r="C708" i="51"/>
  <c r="C703" i="51"/>
  <c r="D698" i="51"/>
  <c r="G695" i="51"/>
  <c r="E693" i="51"/>
  <c r="C691" i="51"/>
  <c r="D686" i="51"/>
  <c r="G683" i="51"/>
  <c r="E681" i="51"/>
  <c r="C679" i="51"/>
  <c r="C674" i="51"/>
  <c r="D669" i="51"/>
  <c r="G666" i="51"/>
  <c r="E664" i="51"/>
  <c r="G661" i="51"/>
  <c r="D659" i="51"/>
  <c r="D654" i="51"/>
  <c r="G651" i="51"/>
  <c r="E649" i="51"/>
  <c r="C647" i="51"/>
  <c r="C642" i="51"/>
  <c r="D637" i="51"/>
  <c r="G634" i="51"/>
  <c r="E632" i="51"/>
  <c r="C630" i="51"/>
  <c r="D625" i="51"/>
  <c r="G622" i="51"/>
  <c r="E620" i="51"/>
  <c r="C618" i="51"/>
  <c r="C613" i="51"/>
  <c r="E610" i="51"/>
  <c r="G607" i="51"/>
  <c r="E605" i="51"/>
  <c r="C603" i="51"/>
  <c r="D598" i="51"/>
  <c r="C593" i="51"/>
  <c r="E590" i="51"/>
  <c r="C588" i="51"/>
  <c r="D583" i="51"/>
  <c r="G580" i="51"/>
  <c r="D578" i="51"/>
  <c r="G575" i="51"/>
  <c r="E573" i="51"/>
  <c r="D562" i="51"/>
  <c r="G559" i="51"/>
  <c r="E557" i="51"/>
  <c r="G554" i="51"/>
  <c r="E552" i="51"/>
  <c r="C550" i="51"/>
  <c r="D545" i="51"/>
  <c r="G542" i="51"/>
  <c r="D540" i="51"/>
  <c r="G537" i="51"/>
  <c r="E535" i="51"/>
  <c r="G532" i="51"/>
  <c r="E530" i="51"/>
  <c r="G527" i="51"/>
  <c r="E525" i="51"/>
  <c r="G522" i="51"/>
  <c r="D875" i="51"/>
  <c r="G872" i="51"/>
  <c r="E870" i="51"/>
  <c r="C868" i="51"/>
  <c r="D863" i="51"/>
  <c r="G860" i="51"/>
  <c r="E858" i="51"/>
  <c r="C856" i="51"/>
  <c r="C851" i="51"/>
  <c r="E848" i="51"/>
  <c r="C846" i="51"/>
  <c r="D841" i="51"/>
  <c r="G838" i="51"/>
  <c r="E836" i="51"/>
  <c r="C834" i="51"/>
  <c r="D829" i="51"/>
  <c r="G826" i="51"/>
  <c r="E824" i="51"/>
  <c r="C822" i="51"/>
  <c r="D817" i="51"/>
  <c r="G814" i="51"/>
  <c r="E812" i="51"/>
  <c r="C810" i="51"/>
  <c r="C805" i="51"/>
  <c r="D802" i="51"/>
  <c r="D799" i="51"/>
  <c r="E796" i="51"/>
  <c r="C794" i="51"/>
  <c r="D789" i="51"/>
  <c r="G786" i="51"/>
  <c r="E784" i="51"/>
  <c r="C782" i="51"/>
  <c r="D779" i="51"/>
  <c r="D776" i="51"/>
  <c r="D773" i="51"/>
  <c r="G770" i="51"/>
  <c r="E768" i="51"/>
  <c r="C766" i="51"/>
  <c r="D761" i="51"/>
  <c r="G758" i="51"/>
  <c r="E756" i="51"/>
  <c r="G753" i="51"/>
  <c r="E751" i="51"/>
  <c r="C749" i="51"/>
  <c r="C744" i="51"/>
  <c r="D739" i="51"/>
  <c r="D734" i="51"/>
  <c r="G731" i="51"/>
  <c r="E729" i="51"/>
  <c r="C727" i="51"/>
  <c r="D722" i="51"/>
  <c r="G719" i="51"/>
  <c r="E717" i="51"/>
  <c r="C715" i="51"/>
  <c r="D710" i="51"/>
  <c r="G707" i="51"/>
  <c r="E705" i="51"/>
  <c r="G702" i="51"/>
  <c r="E700" i="51"/>
  <c r="C698" i="51"/>
  <c r="D693" i="51"/>
  <c r="G690" i="51"/>
  <c r="E688" i="51"/>
  <c r="C686" i="51"/>
  <c r="D681" i="51"/>
  <c r="G678" i="51"/>
  <c r="E676" i="51"/>
  <c r="G673" i="51"/>
  <c r="E671" i="51"/>
  <c r="C669" i="51"/>
  <c r="D664" i="51"/>
  <c r="C659" i="51"/>
  <c r="E656" i="51"/>
  <c r="C654" i="51"/>
  <c r="D649" i="51"/>
  <c r="G646" i="51"/>
  <c r="E644" i="51"/>
  <c r="G641" i="51"/>
  <c r="E639" i="51"/>
  <c r="C637" i="51"/>
  <c r="D632" i="51"/>
  <c r="G629" i="51"/>
  <c r="E627" i="51"/>
  <c r="C625" i="51"/>
  <c r="D620" i="51"/>
  <c r="G617" i="51"/>
  <c r="E615" i="51"/>
  <c r="G612" i="51"/>
  <c r="D610" i="51"/>
  <c r="D605" i="51"/>
  <c r="G602" i="51"/>
  <c r="E600" i="51"/>
  <c r="C598" i="51"/>
  <c r="E595" i="51"/>
  <c r="D590" i="51"/>
  <c r="G587" i="51"/>
  <c r="E585" i="51"/>
  <c r="C583" i="51"/>
  <c r="C578" i="51"/>
  <c r="D573" i="51"/>
  <c r="E570" i="51"/>
  <c r="E567" i="51"/>
  <c r="E564" i="51"/>
  <c r="C562" i="51"/>
  <c r="D557" i="51"/>
  <c r="D552" i="51"/>
  <c r="G549" i="51"/>
  <c r="E547" i="51"/>
  <c r="C545" i="51"/>
  <c r="C540" i="51"/>
  <c r="D535" i="51"/>
  <c r="D530" i="51"/>
  <c r="D525" i="51"/>
  <c r="C514" i="51"/>
  <c r="D509" i="51"/>
  <c r="G506" i="51"/>
  <c r="E877" i="51"/>
  <c r="C875" i="51"/>
  <c r="D870" i="51"/>
  <c r="G867" i="51"/>
  <c r="E865" i="51"/>
  <c r="C863" i="51"/>
  <c r="D858" i="51"/>
  <c r="G855" i="51"/>
  <c r="E853" i="51"/>
  <c r="G850" i="51"/>
  <c r="D848" i="51"/>
  <c r="G845" i="51"/>
  <c r="E843" i="51"/>
  <c r="C841" i="51"/>
  <c r="D836" i="51"/>
  <c r="G833" i="51"/>
  <c r="E831" i="51"/>
  <c r="C829" i="51"/>
  <c r="D824" i="51"/>
  <c r="G821" i="51"/>
  <c r="E819" i="51"/>
  <c r="C817" i="51"/>
  <c r="D812" i="51"/>
  <c r="G809" i="51"/>
  <c r="E807" i="51"/>
  <c r="G804" i="51"/>
  <c r="C802" i="51"/>
  <c r="C799" i="51"/>
  <c r="D796" i="51"/>
  <c r="G793" i="51"/>
  <c r="E791" i="51"/>
  <c r="C789" i="51"/>
  <c r="D784" i="51"/>
  <c r="C779" i="51"/>
  <c r="C776" i="51"/>
  <c r="C773" i="51"/>
  <c r="D768" i="51"/>
  <c r="G765" i="51"/>
  <c r="E763" i="51"/>
  <c r="C761" i="51"/>
  <c r="D756" i="51"/>
  <c r="D751" i="51"/>
  <c r="G748" i="51"/>
  <c r="E746" i="51"/>
  <c r="G743" i="51"/>
  <c r="E741" i="51"/>
  <c r="C739" i="51"/>
  <c r="E736" i="51"/>
  <c r="C734" i="51"/>
  <c r="D729" i="51"/>
  <c r="G726" i="51"/>
  <c r="E724" i="51"/>
  <c r="C722" i="51"/>
  <c r="D717" i="51"/>
  <c r="G714" i="51"/>
  <c r="E712" i="51"/>
  <c r="C710" i="51"/>
  <c r="D705" i="51"/>
  <c r="D700" i="51"/>
  <c r="D877" i="51"/>
  <c r="G874" i="51"/>
  <c r="E872" i="51"/>
  <c r="C870" i="51"/>
  <c r="D865" i="51"/>
  <c r="G862" i="51"/>
  <c r="E860" i="51"/>
  <c r="C858" i="51"/>
  <c r="D853" i="51"/>
  <c r="C848" i="51"/>
  <c r="D843" i="51"/>
  <c r="G840" i="51"/>
  <c r="E838" i="51"/>
  <c r="C836" i="51"/>
  <c r="D831" i="51"/>
  <c r="G828" i="51"/>
  <c r="E826" i="51"/>
  <c r="C824" i="51"/>
  <c r="D819" i="51"/>
  <c r="G816" i="51"/>
  <c r="E814" i="51"/>
  <c r="C812" i="51"/>
  <c r="D807" i="51"/>
  <c r="C796" i="51"/>
  <c r="D791" i="51"/>
  <c r="G788" i="51"/>
  <c r="E786" i="51"/>
  <c r="C784" i="51"/>
  <c r="E781" i="51"/>
  <c r="G772" i="51"/>
  <c r="E770" i="51"/>
  <c r="C768" i="51"/>
  <c r="D763" i="51"/>
  <c r="G760" i="51"/>
  <c r="E758" i="51"/>
  <c r="C756" i="51"/>
  <c r="E753" i="51"/>
  <c r="C751" i="51"/>
  <c r="D746" i="51"/>
  <c r="D741" i="51"/>
  <c r="D736" i="51"/>
  <c r="G733" i="51"/>
  <c r="E731" i="51"/>
  <c r="C729" i="51"/>
  <c r="D724" i="51"/>
  <c r="G721" i="51"/>
  <c r="E719" i="51"/>
  <c r="C717" i="51"/>
  <c r="D712" i="51"/>
  <c r="G709" i="51"/>
  <c r="E707" i="51"/>
  <c r="C705" i="51"/>
  <c r="E702" i="51"/>
  <c r="C700" i="51"/>
  <c r="D695" i="51"/>
  <c r="G692" i="51"/>
  <c r="E690" i="51"/>
  <c r="C688" i="51"/>
  <c r="D683" i="51"/>
  <c r="G680" i="51"/>
  <c r="E678" i="51"/>
  <c r="C877" i="51"/>
  <c r="D872" i="51"/>
  <c r="G869" i="51"/>
  <c r="E867" i="51"/>
  <c r="C865" i="51"/>
  <c r="D860" i="51"/>
  <c r="G857" i="51"/>
  <c r="E855" i="51"/>
  <c r="C853" i="51"/>
  <c r="E850" i="51"/>
  <c r="G847" i="51"/>
  <c r="E845" i="51"/>
  <c r="C843" i="51"/>
  <c r="D838" i="51"/>
  <c r="G835" i="51"/>
  <c r="E833" i="51"/>
  <c r="C831" i="51"/>
  <c r="D826" i="51"/>
  <c r="G823" i="51"/>
  <c r="E821" i="51"/>
  <c r="C819" i="51"/>
  <c r="D814" i="51"/>
  <c r="G811" i="51"/>
  <c r="E809" i="51"/>
  <c r="C807" i="51"/>
  <c r="E804" i="51"/>
  <c r="E801" i="51"/>
  <c r="E798" i="51"/>
  <c r="G795" i="51"/>
  <c r="E793" i="51"/>
  <c r="C791" i="51"/>
  <c r="D786" i="51"/>
  <c r="G783" i="51"/>
  <c r="D781" i="51"/>
  <c r="E778" i="51"/>
  <c r="E775" i="51"/>
  <c r="D770" i="51"/>
  <c r="G767" i="51"/>
  <c r="E765" i="51"/>
  <c r="C763" i="51"/>
  <c r="D758" i="51"/>
  <c r="D753" i="51"/>
  <c r="G750" i="51"/>
  <c r="E748" i="51"/>
  <c r="C746" i="51"/>
  <c r="E743" i="51"/>
  <c r="C741" i="51"/>
  <c r="E738" i="51"/>
  <c r="C736" i="51"/>
  <c r="D731" i="51"/>
  <c r="G728" i="51"/>
  <c r="E726" i="51"/>
  <c r="C724" i="51"/>
  <c r="D719" i="51"/>
  <c r="G716" i="51"/>
  <c r="E714" i="51"/>
  <c r="C712" i="51"/>
  <c r="D707" i="51"/>
  <c r="G704" i="51"/>
  <c r="D702" i="51"/>
  <c r="G699" i="51"/>
  <c r="E697" i="51"/>
  <c r="C695" i="51"/>
  <c r="D690" i="51"/>
  <c r="G687" i="51"/>
  <c r="E685" i="51"/>
  <c r="C683" i="51"/>
  <c r="D678" i="51"/>
  <c r="G675" i="51"/>
  <c r="D673" i="51"/>
  <c r="G670" i="51"/>
  <c r="E668" i="51"/>
  <c r="C666" i="51"/>
  <c r="C661" i="51"/>
  <c r="D658" i="51"/>
  <c r="G655" i="51"/>
  <c r="E653" i="51"/>
  <c r="C651" i="51"/>
  <c r="D646" i="51"/>
  <c r="D641" i="51"/>
  <c r="G638" i="51"/>
  <c r="E636" i="51"/>
  <c r="C634" i="51"/>
  <c r="D629" i="51"/>
  <c r="G626" i="51"/>
  <c r="E624" i="51"/>
  <c r="C622" i="51"/>
  <c r="D617" i="51"/>
  <c r="G614" i="51"/>
  <c r="D612" i="51"/>
  <c r="E609" i="51"/>
  <c r="C607" i="51"/>
  <c r="D602" i="51"/>
  <c r="G599" i="51"/>
  <c r="E597" i="51"/>
  <c r="G594" i="51"/>
  <c r="C592" i="51"/>
  <c r="D587" i="51"/>
  <c r="G584" i="51"/>
  <c r="E582" i="51"/>
  <c r="C580" i="51"/>
  <c r="E577" i="51"/>
  <c r="C575" i="51"/>
  <c r="E572" i="51"/>
  <c r="G563" i="51"/>
  <c r="E561" i="51"/>
  <c r="C559" i="51"/>
  <c r="C554" i="51"/>
  <c r="D549" i="51"/>
  <c r="G546" i="51"/>
  <c r="E544" i="51"/>
  <c r="G876" i="51"/>
  <c r="E874" i="51"/>
  <c r="C872" i="51"/>
  <c r="D867" i="51"/>
  <c r="G864" i="51"/>
  <c r="E862" i="51"/>
  <c r="C860" i="51"/>
  <c r="D855" i="51"/>
  <c r="D850" i="51"/>
  <c r="D845" i="51"/>
  <c r="G842" i="51"/>
  <c r="E840" i="51"/>
  <c r="C838" i="51"/>
  <c r="D833" i="51"/>
  <c r="G830" i="51"/>
  <c r="E828" i="51"/>
  <c r="C826" i="51"/>
  <c r="D821" i="51"/>
  <c r="G818" i="51"/>
  <c r="E816" i="51"/>
  <c r="C814" i="51"/>
  <c r="D809" i="51"/>
  <c r="G806" i="51"/>
  <c r="D804" i="51"/>
  <c r="D801" i="51"/>
  <c r="D798" i="51"/>
  <c r="D793" i="51"/>
  <c r="G790" i="51"/>
  <c r="E788" i="51"/>
  <c r="C786" i="51"/>
  <c r="C781" i="51"/>
  <c r="D778" i="51"/>
  <c r="D775" i="51"/>
  <c r="E772" i="51"/>
  <c r="C770" i="51"/>
  <c r="D765" i="51"/>
  <c r="G762" i="51"/>
  <c r="E760" i="51"/>
  <c r="C758" i="51"/>
  <c r="E755" i="51"/>
  <c r="C753" i="51"/>
  <c r="D748" i="51"/>
  <c r="G745" i="51"/>
  <c r="D743" i="51"/>
  <c r="G740" i="51"/>
  <c r="D738" i="51"/>
  <c r="G735" i="51"/>
  <c r="E733" i="51"/>
  <c r="C731" i="51"/>
  <c r="D726" i="51"/>
  <c r="G723" i="51"/>
  <c r="E721" i="51"/>
  <c r="C719" i="51"/>
  <c r="D874" i="51"/>
  <c r="G871" i="51"/>
  <c r="E869" i="51"/>
  <c r="C867" i="51"/>
  <c r="D862" i="51"/>
  <c r="G859" i="51"/>
  <c r="E857" i="51"/>
  <c r="C855" i="51"/>
  <c r="E852" i="51"/>
  <c r="C850" i="51"/>
  <c r="E847" i="51"/>
  <c r="C845" i="51"/>
  <c r="D840" i="51"/>
  <c r="G837" i="51"/>
  <c r="E835" i="51"/>
  <c r="C833" i="51"/>
  <c r="D828" i="51"/>
  <c r="G825" i="51"/>
  <c r="E823" i="51"/>
  <c r="C821" i="51"/>
  <c r="D816" i="51"/>
  <c r="G813" i="51"/>
  <c r="E811" i="51"/>
  <c r="C809" i="51"/>
  <c r="C804" i="51"/>
  <c r="C801" i="51"/>
  <c r="C798" i="51"/>
  <c r="E795" i="51"/>
  <c r="C793" i="51"/>
  <c r="D788" i="51"/>
  <c r="G785" i="51"/>
  <c r="E783" i="51"/>
  <c r="G780" i="51"/>
  <c r="C778" i="51"/>
  <c r="C775" i="51"/>
  <c r="D772" i="51"/>
  <c r="G769" i="51"/>
  <c r="E767" i="51"/>
  <c r="C765" i="51"/>
  <c r="D760" i="51"/>
  <c r="G757" i="51"/>
  <c r="D755" i="51"/>
  <c r="G752" i="51"/>
  <c r="E750" i="51"/>
  <c r="C748" i="51"/>
  <c r="C743" i="51"/>
  <c r="C738" i="51"/>
  <c r="D733" i="51"/>
  <c r="G730" i="51"/>
  <c r="E728" i="51"/>
  <c r="C726" i="51"/>
  <c r="D721" i="51"/>
  <c r="G718" i="51"/>
  <c r="E716" i="51"/>
  <c r="C714" i="51"/>
  <c r="D709" i="51"/>
  <c r="G706" i="51"/>
  <c r="E704" i="51"/>
  <c r="G701" i="51"/>
  <c r="E699" i="51"/>
  <c r="C697" i="51"/>
  <c r="D692" i="51"/>
  <c r="G689" i="51"/>
  <c r="E687" i="51"/>
  <c r="C685" i="51"/>
  <c r="D680" i="51"/>
  <c r="G677" i="51"/>
  <c r="E675" i="51"/>
  <c r="G672" i="51"/>
  <c r="E670" i="51"/>
  <c r="C668" i="51"/>
  <c r="D663" i="51"/>
  <c r="G657" i="51"/>
  <c r="E655" i="51"/>
  <c r="C653" i="51"/>
  <c r="D648" i="51"/>
  <c r="G645" i="51"/>
  <c r="D643" i="51"/>
  <c r="G640" i="51"/>
  <c r="E638" i="51"/>
  <c r="C636" i="51"/>
  <c r="D631" i="51"/>
  <c r="G628" i="51"/>
  <c r="E626" i="51"/>
  <c r="C624" i="51"/>
  <c r="D619" i="51"/>
  <c r="G616" i="51"/>
  <c r="E614" i="51"/>
  <c r="G611" i="51"/>
  <c r="C609" i="51"/>
  <c r="D604" i="51"/>
  <c r="G601" i="51"/>
  <c r="E599" i="51"/>
  <c r="C597" i="51"/>
  <c r="E594" i="51"/>
  <c r="D589" i="51"/>
  <c r="G586" i="51"/>
  <c r="E584" i="51"/>
  <c r="C582" i="51"/>
  <c r="E579" i="51"/>
  <c r="C577" i="51"/>
  <c r="C572" i="51"/>
  <c r="D569" i="51"/>
  <c r="D566" i="51"/>
  <c r="E563" i="51"/>
  <c r="C561" i="51"/>
  <c r="D556" i="51"/>
  <c r="D551" i="51"/>
  <c r="G548" i="51"/>
  <c r="E546" i="51"/>
  <c r="C544" i="51"/>
  <c r="C539" i="51"/>
  <c r="D534" i="51"/>
  <c r="C529" i="51"/>
  <c r="D524" i="51"/>
  <c r="E521" i="51"/>
  <c r="E518" i="51"/>
  <c r="E515" i="51"/>
  <c r="C513" i="51"/>
  <c r="D508" i="51"/>
  <c r="G505" i="51"/>
  <c r="E503" i="51"/>
  <c r="C501" i="51"/>
  <c r="D496" i="51"/>
  <c r="G493" i="51"/>
  <c r="E491" i="51"/>
  <c r="G488" i="51"/>
  <c r="E876" i="51"/>
  <c r="D876" i="51"/>
  <c r="C874" i="51"/>
  <c r="G866" i="51"/>
  <c r="D852" i="51"/>
  <c r="G844" i="51"/>
  <c r="E830" i="51"/>
  <c r="D823" i="51"/>
  <c r="C816" i="51"/>
  <c r="G808" i="51"/>
  <c r="G792" i="51"/>
  <c r="E762" i="51"/>
  <c r="C755" i="51"/>
  <c r="G747" i="51"/>
  <c r="E740" i="51"/>
  <c r="C733" i="51"/>
  <c r="G725" i="51"/>
  <c r="G711" i="51"/>
  <c r="G679" i="51"/>
  <c r="D665" i="51"/>
  <c r="G650" i="51"/>
  <c r="D633" i="51"/>
  <c r="G623" i="51"/>
  <c r="C615" i="51"/>
  <c r="C605" i="51"/>
  <c r="E591" i="51"/>
  <c r="E587" i="51"/>
  <c r="C579" i="51"/>
  <c r="G574" i="51"/>
  <c r="E566" i="51"/>
  <c r="G561" i="51"/>
  <c r="D558" i="51"/>
  <c r="D554" i="51"/>
  <c r="G550" i="51"/>
  <c r="D546" i="51"/>
  <c r="D542" i="51"/>
  <c r="G538" i="51"/>
  <c r="G531" i="51"/>
  <c r="E528" i="51"/>
  <c r="G524" i="51"/>
  <c r="D521" i="51"/>
  <c r="D514" i="51"/>
  <c r="D511" i="51"/>
  <c r="E505" i="51"/>
  <c r="G502" i="51"/>
  <c r="D500" i="51"/>
  <c r="G497" i="51"/>
  <c r="D495" i="51"/>
  <c r="C490" i="51"/>
  <c r="D487" i="51"/>
  <c r="G484" i="51"/>
  <c r="D482" i="51"/>
  <c r="G479" i="51"/>
  <c r="D477" i="51"/>
  <c r="D472" i="51"/>
  <c r="G469" i="51"/>
  <c r="D467" i="51"/>
  <c r="D464" i="51"/>
  <c r="D461" i="51"/>
  <c r="D456" i="51"/>
  <c r="G453" i="51"/>
  <c r="E451" i="51"/>
  <c r="C449" i="51"/>
  <c r="D444" i="51"/>
  <c r="G441" i="51"/>
  <c r="E439" i="51"/>
  <c r="C437" i="51"/>
  <c r="E434" i="51"/>
  <c r="C432" i="51"/>
  <c r="D427" i="51"/>
  <c r="G424" i="51"/>
  <c r="E422" i="51"/>
  <c r="C420" i="51"/>
  <c r="E417" i="51"/>
  <c r="C415" i="51"/>
  <c r="E412" i="51"/>
  <c r="C410" i="51"/>
  <c r="E407" i="51"/>
  <c r="C405" i="51"/>
  <c r="E402" i="51"/>
  <c r="G393" i="51"/>
  <c r="E391" i="51"/>
  <c r="C389" i="51"/>
  <c r="D384" i="51"/>
  <c r="G381" i="51"/>
  <c r="E379" i="51"/>
  <c r="C377" i="51"/>
  <c r="D372" i="51"/>
  <c r="G369" i="51"/>
  <c r="E367" i="51"/>
  <c r="G364" i="51"/>
  <c r="E362" i="51"/>
  <c r="C360" i="51"/>
  <c r="E357" i="51"/>
  <c r="G354" i="51"/>
  <c r="E352" i="51"/>
  <c r="G349" i="51"/>
  <c r="E347" i="51"/>
  <c r="G344" i="51"/>
  <c r="C342" i="51"/>
  <c r="C339" i="51"/>
  <c r="D336" i="51"/>
  <c r="G333" i="51"/>
  <c r="E331" i="51"/>
  <c r="C329" i="51"/>
  <c r="C324" i="51"/>
  <c r="E321" i="51"/>
  <c r="C319" i="51"/>
  <c r="E316" i="51"/>
  <c r="E313" i="51"/>
  <c r="E310" i="51"/>
  <c r="C308" i="51"/>
  <c r="D303" i="51"/>
  <c r="G300" i="51"/>
  <c r="E298" i="51"/>
  <c r="C296" i="51"/>
  <c r="C291" i="51"/>
  <c r="C288" i="51"/>
  <c r="C285" i="51"/>
  <c r="D280" i="51"/>
  <c r="D275" i="51"/>
  <c r="D270" i="51"/>
  <c r="G267" i="51"/>
  <c r="E265" i="51"/>
  <c r="C263" i="51"/>
  <c r="C252" i="51"/>
  <c r="G873" i="51"/>
  <c r="E859" i="51"/>
  <c r="C852" i="51"/>
  <c r="E837" i="51"/>
  <c r="D830" i="51"/>
  <c r="C823" i="51"/>
  <c r="G815" i="51"/>
  <c r="E800" i="51"/>
  <c r="E785" i="51"/>
  <c r="E777" i="51"/>
  <c r="E769" i="51"/>
  <c r="D762" i="51"/>
  <c r="G754" i="51"/>
  <c r="D740" i="51"/>
  <c r="G732" i="51"/>
  <c r="E718" i="51"/>
  <c r="E706" i="51"/>
  <c r="D699" i="51"/>
  <c r="E694" i="51"/>
  <c r="E689" i="51"/>
  <c r="G668" i="51"/>
  <c r="E660" i="51"/>
  <c r="D655" i="51"/>
  <c r="E646" i="51"/>
  <c r="G636" i="51"/>
  <c r="E628" i="51"/>
  <c r="E619" i="51"/>
  <c r="D609" i="51"/>
  <c r="G604" i="51"/>
  <c r="D600" i="51"/>
  <c r="D595" i="51"/>
  <c r="D591" i="51"/>
  <c r="C587" i="51"/>
  <c r="G582" i="51"/>
  <c r="G578" i="51"/>
  <c r="D570" i="51"/>
  <c r="C566" i="51"/>
  <c r="C558" i="51"/>
  <c r="G553" i="51"/>
  <c r="C546" i="51"/>
  <c r="C542" i="51"/>
  <c r="C535" i="51"/>
  <c r="C521" i="51"/>
  <c r="E517" i="51"/>
  <c r="G513" i="51"/>
  <c r="C511" i="51"/>
  <c r="E508" i="51"/>
  <c r="D505" i="51"/>
  <c r="C500" i="51"/>
  <c r="C495" i="51"/>
  <c r="E492" i="51"/>
  <c r="C487" i="51"/>
  <c r="C482" i="51"/>
  <c r="C477" i="51"/>
  <c r="E474" i="51"/>
  <c r="C472" i="51"/>
  <c r="C467" i="51"/>
  <c r="C464" i="51"/>
  <c r="C461" i="51"/>
  <c r="E458" i="51"/>
  <c r="C456" i="51"/>
  <c r="D451" i="51"/>
  <c r="G448" i="51"/>
  <c r="E446" i="51"/>
  <c r="C444" i="51"/>
  <c r="D439" i="51"/>
  <c r="D434" i="51"/>
  <c r="G431" i="51"/>
  <c r="E429" i="51"/>
  <c r="C427" i="51"/>
  <c r="D422" i="51"/>
  <c r="D417" i="51"/>
  <c r="G414" i="51"/>
  <c r="D412" i="51"/>
  <c r="G409" i="51"/>
  <c r="D407" i="51"/>
  <c r="G404" i="51"/>
  <c r="D402" i="51"/>
  <c r="E399" i="51"/>
  <c r="E396" i="51"/>
  <c r="D391" i="51"/>
  <c r="G388" i="51"/>
  <c r="E386" i="51"/>
  <c r="C384" i="51"/>
  <c r="D379" i="51"/>
  <c r="G376" i="51"/>
  <c r="E374" i="51"/>
  <c r="C372" i="51"/>
  <c r="D367" i="51"/>
  <c r="D362" i="51"/>
  <c r="D357" i="51"/>
  <c r="D352" i="51"/>
  <c r="D347" i="51"/>
  <c r="C336" i="51"/>
  <c r="D331" i="51"/>
  <c r="G328" i="51"/>
  <c r="E326" i="51"/>
  <c r="G323" i="51"/>
  <c r="D321" i="51"/>
  <c r="G318" i="51"/>
  <c r="D316" i="51"/>
  <c r="D313" i="51"/>
  <c r="D310" i="51"/>
  <c r="G307" i="51"/>
  <c r="E305" i="51"/>
  <c r="C303" i="51"/>
  <c r="D298" i="51"/>
  <c r="G295" i="51"/>
  <c r="E293" i="51"/>
  <c r="G284" i="51"/>
  <c r="E282" i="51"/>
  <c r="C280" i="51"/>
  <c r="E277" i="51"/>
  <c r="E711" i="51"/>
  <c r="C699" i="51"/>
  <c r="D694" i="51"/>
  <c r="E683" i="51"/>
  <c r="E673" i="51"/>
  <c r="C664" i="51"/>
  <c r="D660" i="51"/>
  <c r="C655" i="51"/>
  <c r="E650" i="51"/>
  <c r="C646" i="51"/>
  <c r="E641" i="51"/>
  <c r="C632" i="51"/>
  <c r="C619" i="51"/>
  <c r="D614" i="51"/>
  <c r="G608" i="51"/>
  <c r="C600" i="51"/>
  <c r="C595" i="51"/>
  <c r="C591" i="51"/>
  <c r="E574" i="51"/>
  <c r="C570" i="51"/>
  <c r="D561" i="51"/>
  <c r="G545" i="51"/>
  <c r="G541" i="51"/>
  <c r="E538" i="51"/>
  <c r="G534" i="51"/>
  <c r="E531" i="51"/>
  <c r="E527" i="51"/>
  <c r="E524" i="51"/>
  <c r="C517" i="51"/>
  <c r="G510" i="51"/>
  <c r="C508" i="51"/>
  <c r="C505" i="51"/>
  <c r="E502" i="51"/>
  <c r="G499" i="51"/>
  <c r="E497" i="51"/>
  <c r="G494" i="51"/>
  <c r="D492" i="51"/>
  <c r="E489" i="51"/>
  <c r="G486" i="51"/>
  <c r="E484" i="51"/>
  <c r="G481" i="51"/>
  <c r="E479" i="51"/>
  <c r="G476" i="51"/>
  <c r="D474" i="51"/>
  <c r="G471" i="51"/>
  <c r="E469" i="51"/>
  <c r="D458" i="51"/>
  <c r="G455" i="51"/>
  <c r="E453" i="51"/>
  <c r="C451" i="51"/>
  <c r="D446" i="51"/>
  <c r="G443" i="51"/>
  <c r="E441" i="51"/>
  <c r="C439" i="51"/>
  <c r="E436" i="51"/>
  <c r="C434" i="51"/>
  <c r="D429" i="51"/>
  <c r="G426" i="51"/>
  <c r="E424" i="51"/>
  <c r="C422" i="51"/>
  <c r="E419" i="51"/>
  <c r="C417" i="51"/>
  <c r="C412" i="51"/>
  <c r="C407" i="51"/>
  <c r="C402" i="51"/>
  <c r="D399" i="51"/>
  <c r="D396" i="51"/>
  <c r="E393" i="51"/>
  <c r="C391" i="51"/>
  <c r="D386" i="51"/>
  <c r="G383" i="51"/>
  <c r="E381" i="51"/>
  <c r="C379" i="51"/>
  <c r="D374" i="51"/>
  <c r="G371" i="51"/>
  <c r="E369" i="51"/>
  <c r="C367" i="51"/>
  <c r="E364" i="51"/>
  <c r="C362" i="51"/>
  <c r="E359" i="51"/>
  <c r="C357" i="51"/>
  <c r="E354" i="51"/>
  <c r="C352" i="51"/>
  <c r="E349" i="51"/>
  <c r="C347" i="51"/>
  <c r="E344" i="51"/>
  <c r="E341" i="51"/>
  <c r="E338" i="51"/>
  <c r="G335" i="51"/>
  <c r="E333" i="51"/>
  <c r="C331" i="51"/>
  <c r="D326" i="51"/>
  <c r="C321" i="51"/>
  <c r="C316" i="51"/>
  <c r="C313" i="51"/>
  <c r="C310" i="51"/>
  <c r="D305" i="51"/>
  <c r="G302" i="51"/>
  <c r="E300" i="51"/>
  <c r="C298" i="51"/>
  <c r="D293" i="51"/>
  <c r="E290" i="51"/>
  <c r="E287" i="51"/>
  <c r="D282" i="51"/>
  <c r="G279" i="51"/>
  <c r="D277" i="51"/>
  <c r="D272" i="51"/>
  <c r="G269" i="51"/>
  <c r="E267" i="51"/>
  <c r="D711" i="51"/>
  <c r="D688" i="51"/>
  <c r="G682" i="51"/>
  <c r="C678" i="51"/>
  <c r="C673" i="51"/>
  <c r="D668" i="51"/>
  <c r="G663" i="51"/>
  <c r="D650" i="51"/>
  <c r="C641" i="51"/>
  <c r="D636" i="51"/>
  <c r="G631" i="51"/>
  <c r="D627" i="51"/>
  <c r="E622" i="51"/>
  <c r="G618" i="51"/>
  <c r="C614" i="51"/>
  <c r="E604" i="51"/>
  <c r="E586" i="51"/>
  <c r="D582" i="51"/>
  <c r="G577" i="51"/>
  <c r="D574" i="51"/>
  <c r="E565" i="51"/>
  <c r="G560" i="51"/>
  <c r="C557" i="51"/>
  <c r="E553" i="51"/>
  <c r="E549" i="51"/>
  <c r="D531" i="51"/>
  <c r="D527" i="51"/>
  <c r="C524" i="51"/>
  <c r="E520" i="51"/>
  <c r="E513" i="51"/>
  <c r="G507" i="51"/>
  <c r="G504" i="51"/>
  <c r="D502" i="51"/>
  <c r="D497" i="51"/>
  <c r="C492" i="51"/>
  <c r="D489" i="51"/>
  <c r="D484" i="51"/>
  <c r="D479" i="51"/>
  <c r="C474" i="51"/>
  <c r="D469" i="51"/>
  <c r="E466" i="51"/>
  <c r="E463" i="51"/>
  <c r="E460" i="51"/>
  <c r="C458" i="51"/>
  <c r="D453" i="51"/>
  <c r="G450" i="51"/>
  <c r="E448" i="51"/>
  <c r="C446" i="51"/>
  <c r="D441" i="51"/>
  <c r="G438" i="51"/>
  <c r="D436" i="51"/>
  <c r="G433" i="51"/>
  <c r="E431" i="51"/>
  <c r="C429" i="51"/>
  <c r="D424" i="51"/>
  <c r="G421" i="51"/>
  <c r="D419" i="51"/>
  <c r="G416" i="51"/>
  <c r="E414" i="51"/>
  <c r="G411" i="51"/>
  <c r="E409" i="51"/>
  <c r="G406" i="51"/>
  <c r="E404" i="51"/>
  <c r="G401" i="51"/>
  <c r="C399" i="51"/>
  <c r="C396" i="51"/>
  <c r="D393" i="51"/>
  <c r="G390" i="51"/>
  <c r="E388" i="51"/>
  <c r="C386" i="51"/>
  <c r="D381" i="51"/>
  <c r="G378" i="51"/>
  <c r="E376" i="51"/>
  <c r="C374" i="51"/>
  <c r="D369" i="51"/>
  <c r="D364" i="51"/>
  <c r="G361" i="51"/>
  <c r="D359" i="51"/>
  <c r="G356" i="51"/>
  <c r="D354" i="51"/>
  <c r="D349" i="51"/>
  <c r="G346" i="51"/>
  <c r="D344" i="51"/>
  <c r="D341" i="51"/>
  <c r="D338" i="51"/>
  <c r="D333" i="51"/>
  <c r="G330" i="51"/>
  <c r="E328" i="51"/>
  <c r="C326" i="51"/>
  <c r="E323" i="51"/>
  <c r="G320" i="51"/>
  <c r="E318" i="51"/>
  <c r="G309" i="51"/>
  <c r="E307" i="51"/>
  <c r="C305" i="51"/>
  <c r="D300" i="51"/>
  <c r="G297" i="51"/>
  <c r="E295" i="51"/>
  <c r="C293" i="51"/>
  <c r="D290" i="51"/>
  <c r="D287" i="51"/>
  <c r="E284" i="51"/>
  <c r="C282" i="51"/>
  <c r="C277" i="51"/>
  <c r="E274" i="51"/>
  <c r="C272" i="51"/>
  <c r="D267" i="51"/>
  <c r="G264" i="51"/>
  <c r="E262" i="51"/>
  <c r="C260" i="51"/>
  <c r="C257" i="51"/>
  <c r="C254" i="51"/>
  <c r="E251" i="51"/>
  <c r="C249" i="51"/>
  <c r="D244" i="51"/>
  <c r="G241" i="51"/>
  <c r="E239" i="51"/>
  <c r="C237" i="51"/>
  <c r="D232" i="51"/>
  <c r="G229" i="51"/>
  <c r="E227" i="51"/>
  <c r="C225" i="51"/>
  <c r="D222" i="51"/>
  <c r="D219" i="51"/>
  <c r="G216" i="51"/>
  <c r="E214" i="51"/>
  <c r="C212" i="51"/>
  <c r="E864" i="51"/>
  <c r="D857" i="51"/>
  <c r="E842" i="51"/>
  <c r="D835" i="51"/>
  <c r="C828" i="51"/>
  <c r="G820" i="51"/>
  <c r="E806" i="51"/>
  <c r="E790" i="51"/>
  <c r="D783" i="51"/>
  <c r="D767" i="51"/>
  <c r="C760" i="51"/>
  <c r="E745" i="51"/>
  <c r="G737" i="51"/>
  <c r="E723" i="51"/>
  <c r="D716" i="51"/>
  <c r="D704" i="51"/>
  <c r="G697" i="51"/>
  <c r="C693" i="51"/>
  <c r="G667" i="51"/>
  <c r="G653" i="51"/>
  <c r="E645" i="51"/>
  <c r="G635" i="51"/>
  <c r="C627" i="51"/>
  <c r="D622" i="51"/>
  <c r="C604" i="51"/>
  <c r="D599" i="51"/>
  <c r="D594" i="51"/>
  <c r="C590" i="51"/>
  <c r="D586" i="51"/>
  <c r="G581" i="51"/>
  <c r="C574" i="51"/>
  <c r="E569" i="51"/>
  <c r="G556" i="51"/>
  <c r="D553" i="51"/>
  <c r="C549" i="51"/>
  <c r="G544" i="51"/>
  <c r="E541" i="51"/>
  <c r="E537" i="51"/>
  <c r="E534" i="51"/>
  <c r="C531" i="51"/>
  <c r="C527" i="51"/>
  <c r="C520" i="51"/>
  <c r="E516" i="51"/>
  <c r="D513" i="51"/>
  <c r="E510" i="51"/>
  <c r="C502" i="51"/>
  <c r="E499" i="51"/>
  <c r="C497" i="51"/>
  <c r="E494" i="51"/>
  <c r="G491" i="51"/>
  <c r="C489" i="51"/>
  <c r="E486" i="51"/>
  <c r="C484" i="51"/>
  <c r="E481" i="51"/>
  <c r="C479" i="51"/>
  <c r="E476" i="51"/>
  <c r="G473" i="51"/>
  <c r="E471" i="51"/>
  <c r="C469" i="51"/>
  <c r="D466" i="51"/>
  <c r="D463" i="51"/>
  <c r="D460" i="51"/>
  <c r="G457" i="51"/>
  <c r="E455" i="51"/>
  <c r="C453" i="51"/>
  <c r="D448" i="51"/>
  <c r="G445" i="51"/>
  <c r="E443" i="51"/>
  <c r="C441" i="51"/>
  <c r="C436" i="51"/>
  <c r="D431" i="51"/>
  <c r="G428" i="51"/>
  <c r="E426" i="51"/>
  <c r="C424" i="51"/>
  <c r="C419" i="51"/>
  <c r="D414" i="51"/>
  <c r="D409" i="51"/>
  <c r="D404" i="51"/>
  <c r="C393" i="51"/>
  <c r="D388" i="51"/>
  <c r="G385" i="51"/>
  <c r="E383" i="51"/>
  <c r="C381" i="51"/>
  <c r="D376" i="51"/>
  <c r="G373" i="51"/>
  <c r="E371" i="51"/>
  <c r="C369" i="51"/>
  <c r="E366" i="51"/>
  <c r="C364" i="51"/>
  <c r="C359" i="51"/>
  <c r="C354" i="51"/>
  <c r="E351" i="51"/>
  <c r="C349" i="51"/>
  <c r="C344" i="51"/>
  <c r="C341" i="51"/>
  <c r="C338" i="51"/>
  <c r="E335" i="51"/>
  <c r="C333" i="51"/>
  <c r="D328" i="51"/>
  <c r="D323" i="51"/>
  <c r="D318" i="51"/>
  <c r="E315" i="51"/>
  <c r="E312" i="51"/>
  <c r="D307" i="51"/>
  <c r="G304" i="51"/>
  <c r="E302" i="51"/>
  <c r="C300" i="51"/>
  <c r="D295" i="51"/>
  <c r="G292" i="51"/>
  <c r="C290" i="51"/>
  <c r="C287" i="51"/>
  <c r="D284" i="51"/>
  <c r="G281" i="51"/>
  <c r="E279" i="51"/>
  <c r="G276" i="51"/>
  <c r="D274" i="51"/>
  <c r="G271" i="51"/>
  <c r="E269" i="51"/>
  <c r="C267" i="51"/>
  <c r="D262" i="51"/>
  <c r="D251" i="51"/>
  <c r="G248" i="51"/>
  <c r="E246" i="51"/>
  <c r="C244" i="51"/>
  <c r="D239" i="51"/>
  <c r="G236" i="51"/>
  <c r="E234" i="51"/>
  <c r="E871" i="51"/>
  <c r="D864" i="51"/>
  <c r="C857" i="51"/>
  <c r="E849" i="51"/>
  <c r="D842" i="51"/>
  <c r="C835" i="51"/>
  <c r="G827" i="51"/>
  <c r="E813" i="51"/>
  <c r="D806" i="51"/>
  <c r="E797" i="51"/>
  <c r="D790" i="51"/>
  <c r="C783" i="51"/>
  <c r="E774" i="51"/>
  <c r="C767" i="51"/>
  <c r="G759" i="51"/>
  <c r="E752" i="51"/>
  <c r="D745" i="51"/>
  <c r="E730" i="51"/>
  <c r="D723" i="51"/>
  <c r="C716" i="51"/>
  <c r="C704" i="51"/>
  <c r="D687" i="51"/>
  <c r="E682" i="51"/>
  <c r="E677" i="51"/>
  <c r="E672" i="51"/>
  <c r="E663" i="51"/>
  <c r="E658" i="51"/>
  <c r="C649" i="51"/>
  <c r="E640" i="51"/>
  <c r="E631" i="51"/>
  <c r="G621" i="51"/>
  <c r="E607" i="51"/>
  <c r="G603" i="51"/>
  <c r="C599" i="51"/>
  <c r="C594" i="51"/>
  <c r="G589" i="51"/>
  <c r="D577" i="51"/>
  <c r="C569" i="51"/>
  <c r="D564" i="51"/>
  <c r="E560" i="51"/>
  <c r="C553" i="51"/>
  <c r="D541" i="51"/>
  <c r="D537" i="51"/>
  <c r="C534" i="51"/>
  <c r="G526" i="51"/>
  <c r="E523" i="51"/>
  <c r="D516" i="51"/>
  <c r="G512" i="51"/>
  <c r="D510" i="51"/>
  <c r="E507" i="51"/>
  <c r="E504" i="51"/>
  <c r="G501" i="51"/>
  <c r="D499" i="51"/>
  <c r="G496" i="51"/>
  <c r="D494" i="51"/>
  <c r="D486" i="51"/>
  <c r="G483" i="51"/>
  <c r="D481" i="51"/>
  <c r="D476" i="51"/>
  <c r="D471" i="51"/>
  <c r="C466" i="51"/>
  <c r="E709" i="51"/>
  <c r="D697" i="51"/>
  <c r="E692" i="51"/>
  <c r="C687" i="51"/>
  <c r="D682" i="51"/>
  <c r="C663" i="51"/>
  <c r="C658" i="51"/>
  <c r="D653" i="51"/>
  <c r="G648" i="51"/>
  <c r="D644" i="51"/>
  <c r="C631" i="51"/>
  <c r="D626" i="51"/>
  <c r="E617" i="51"/>
  <c r="E612" i="51"/>
  <c r="D607" i="51"/>
  <c r="D585" i="51"/>
  <c r="E581" i="51"/>
  <c r="G576" i="51"/>
  <c r="C573" i="51"/>
  <c r="C564" i="51"/>
  <c r="E556" i="51"/>
  <c r="E548" i="51"/>
  <c r="D544" i="51"/>
  <c r="C541" i="51"/>
  <c r="C537" i="51"/>
  <c r="C530" i="51"/>
  <c r="D523" i="51"/>
  <c r="E519" i="51"/>
  <c r="C516" i="51"/>
  <c r="C510" i="51"/>
  <c r="C507" i="51"/>
  <c r="D504" i="51"/>
  <c r="C499" i="51"/>
  <c r="C494" i="51"/>
  <c r="D491" i="51"/>
  <c r="E488" i="51"/>
  <c r="C486" i="51"/>
  <c r="C481" i="51"/>
  <c r="E478" i="51"/>
  <c r="C476" i="51"/>
  <c r="E473" i="51"/>
  <c r="C471" i="51"/>
  <c r="E468" i="51"/>
  <c r="G459" i="51"/>
  <c r="E457" i="51"/>
  <c r="C455" i="51"/>
  <c r="D450" i="51"/>
  <c r="G447" i="51"/>
  <c r="E445" i="51"/>
  <c r="C443" i="51"/>
  <c r="D438" i="51"/>
  <c r="D433" i="51"/>
  <c r="C709" i="51"/>
  <c r="G696" i="51"/>
  <c r="C692" i="51"/>
  <c r="D676" i="51"/>
  <c r="D671" i="51"/>
  <c r="E666" i="51"/>
  <c r="G652" i="51"/>
  <c r="C644" i="51"/>
  <c r="D639" i="51"/>
  <c r="E634" i="51"/>
  <c r="G630" i="51"/>
  <c r="C626" i="51"/>
  <c r="E621" i="51"/>
  <c r="C617" i="51"/>
  <c r="C612" i="51"/>
  <c r="G606" i="51"/>
  <c r="G597" i="51"/>
  <c r="E589" i="51"/>
  <c r="C585" i="51"/>
  <c r="E568" i="51"/>
  <c r="E559" i="51"/>
  <c r="C556" i="51"/>
  <c r="C552" i="51"/>
  <c r="D548" i="51"/>
  <c r="G543" i="51"/>
  <c r="G536" i="51"/>
  <c r="E533" i="51"/>
  <c r="E526" i="51"/>
  <c r="D519" i="51"/>
  <c r="E512" i="51"/>
  <c r="G509" i="51"/>
  <c r="C504" i="51"/>
  <c r="E501" i="51"/>
  <c r="G498" i="51"/>
  <c r="E496" i="51"/>
  <c r="C491" i="51"/>
  <c r="D488" i="51"/>
  <c r="G485" i="51"/>
  <c r="E483" i="51"/>
  <c r="G480" i="51"/>
  <c r="D478" i="51"/>
  <c r="G475" i="51"/>
  <c r="D473" i="51"/>
  <c r="G470" i="51"/>
  <c r="D468" i="51"/>
  <c r="E465" i="51"/>
  <c r="E462" i="51"/>
  <c r="D457" i="51"/>
  <c r="G454" i="51"/>
  <c r="E452" i="51"/>
  <c r="C450" i="51"/>
  <c r="D445" i="51"/>
  <c r="G442" i="51"/>
  <c r="E440" i="51"/>
  <c r="C438" i="51"/>
  <c r="E435" i="51"/>
  <c r="C433" i="51"/>
  <c r="D428" i="51"/>
  <c r="G425" i="51"/>
  <c r="E423" i="51"/>
  <c r="C421" i="51"/>
  <c r="E418" i="51"/>
  <c r="C416" i="51"/>
  <c r="C411" i="51"/>
  <c r="E408" i="51"/>
  <c r="C406" i="51"/>
  <c r="C401" i="51"/>
  <c r="C398" i="51"/>
  <c r="C395" i="51"/>
  <c r="E392" i="51"/>
  <c r="C390" i="51"/>
  <c r="D385" i="51"/>
  <c r="G382" i="51"/>
  <c r="E380" i="51"/>
  <c r="C378" i="51"/>
  <c r="D373" i="51"/>
  <c r="G370" i="51"/>
  <c r="E368" i="51"/>
  <c r="G365" i="51"/>
  <c r="E363" i="51"/>
  <c r="C361" i="51"/>
  <c r="E358" i="51"/>
  <c r="C356" i="51"/>
  <c r="E353" i="51"/>
  <c r="G350" i="51"/>
  <c r="E348" i="51"/>
  <c r="C346" i="51"/>
  <c r="D343" i="51"/>
  <c r="D340" i="51"/>
  <c r="D337" i="51"/>
  <c r="G334" i="51"/>
  <c r="E332" i="51"/>
  <c r="C330" i="51"/>
  <c r="C325" i="51"/>
  <c r="E322" i="51"/>
  <c r="C320" i="51"/>
  <c r="C309" i="51"/>
  <c r="D304" i="51"/>
  <c r="G301" i="51"/>
  <c r="E299" i="51"/>
  <c r="C297" i="51"/>
  <c r="D292" i="51"/>
  <c r="D289" i="51"/>
  <c r="D286" i="51"/>
  <c r="D281" i="51"/>
  <c r="G278" i="51"/>
  <c r="D276" i="51"/>
  <c r="D271" i="51"/>
  <c r="G268" i="51"/>
  <c r="E266" i="51"/>
  <c r="C264" i="51"/>
  <c r="D869" i="51"/>
  <c r="C862" i="51"/>
  <c r="G854" i="51"/>
  <c r="D847" i="51"/>
  <c r="C840" i="51"/>
  <c r="G832" i="51"/>
  <c r="E818" i="51"/>
  <c r="D811" i="51"/>
  <c r="D795" i="51"/>
  <c r="C788" i="51"/>
  <c r="C772" i="51"/>
  <c r="G764" i="51"/>
  <c r="D750" i="51"/>
  <c r="G742" i="51"/>
  <c r="E735" i="51"/>
  <c r="D728" i="51"/>
  <c r="C721" i="51"/>
  <c r="D714" i="51"/>
  <c r="G708" i="51"/>
  <c r="C702" i="51"/>
  <c r="G691" i="51"/>
  <c r="G685" i="51"/>
  <c r="C681" i="51"/>
  <c r="C676" i="51"/>
  <c r="C671" i="51"/>
  <c r="D666" i="51"/>
  <c r="E657" i="51"/>
  <c r="E648" i="51"/>
  <c r="C639" i="51"/>
  <c r="D634" i="51"/>
  <c r="D621" i="51"/>
  <c r="E602" i="51"/>
  <c r="E592" i="51"/>
  <c r="C589" i="51"/>
  <c r="E580" i="51"/>
  <c r="E576" i="51"/>
  <c r="D572" i="51"/>
  <c r="D563" i="51"/>
  <c r="D559" i="51"/>
  <c r="G551" i="51"/>
  <c r="G539" i="51"/>
  <c r="E529" i="51"/>
  <c r="D526" i="51"/>
  <c r="E522" i="51"/>
  <c r="C519" i="51"/>
  <c r="D515" i="51"/>
  <c r="D512" i="51"/>
  <c r="E506" i="51"/>
  <c r="G503" i="51"/>
  <c r="D501" i="51"/>
  <c r="C496" i="51"/>
  <c r="E493" i="51"/>
  <c r="G490" i="51"/>
  <c r="C488" i="51"/>
  <c r="D483" i="51"/>
  <c r="C478" i="51"/>
  <c r="C473" i="51"/>
  <c r="C468" i="51"/>
  <c r="D465" i="51"/>
  <c r="D462" i="51"/>
  <c r="E459" i="51"/>
  <c r="C457" i="51"/>
  <c r="D452" i="51"/>
  <c r="G449" i="51"/>
  <c r="E447" i="51"/>
  <c r="C445" i="51"/>
  <c r="D440" i="51"/>
  <c r="G437" i="51"/>
  <c r="D435" i="51"/>
  <c r="G432" i="51"/>
  <c r="E430" i="51"/>
  <c r="C428" i="51"/>
  <c r="D423" i="51"/>
  <c r="G420" i="51"/>
  <c r="D418" i="51"/>
  <c r="G415" i="51"/>
  <c r="E413" i="51"/>
  <c r="G410" i="51"/>
  <c r="D408" i="51"/>
  <c r="G405" i="51"/>
  <c r="E403" i="51"/>
  <c r="D392" i="51"/>
  <c r="G389" i="51"/>
  <c r="E387" i="51"/>
  <c r="C385" i="51"/>
  <c r="D380" i="51"/>
  <c r="G377" i="51"/>
  <c r="E375" i="51"/>
  <c r="C373" i="51"/>
  <c r="D368" i="51"/>
  <c r="D363" i="51"/>
  <c r="G360" i="51"/>
  <c r="D358" i="51"/>
  <c r="D353" i="51"/>
  <c r="D348" i="51"/>
  <c r="C343" i="51"/>
  <c r="C340" i="51"/>
  <c r="C337" i="51"/>
  <c r="D332" i="51"/>
  <c r="G329" i="51"/>
  <c r="E327" i="51"/>
  <c r="G324" i="51"/>
  <c r="D322" i="51"/>
  <c r="G319" i="51"/>
  <c r="E317" i="51"/>
  <c r="E314" i="51"/>
  <c r="E311" i="51"/>
  <c r="G308" i="51"/>
  <c r="E306" i="51"/>
  <c r="C304" i="51"/>
  <c r="D299" i="51"/>
  <c r="G296" i="51"/>
  <c r="E294" i="51"/>
  <c r="C292" i="51"/>
  <c r="C289" i="51"/>
  <c r="C286" i="51"/>
  <c r="E283" i="51"/>
  <c r="C281" i="51"/>
  <c r="C276" i="51"/>
  <c r="C869" i="51"/>
  <c r="G861" i="51"/>
  <c r="C847" i="51"/>
  <c r="G839" i="51"/>
  <c r="E825" i="51"/>
  <c r="D818" i="51"/>
  <c r="C811" i="51"/>
  <c r="E803" i="51"/>
  <c r="C795" i="51"/>
  <c r="G787" i="51"/>
  <c r="E780" i="51"/>
  <c r="G771" i="51"/>
  <c r="E757" i="51"/>
  <c r="C750" i="51"/>
  <c r="D735" i="51"/>
  <c r="C728" i="51"/>
  <c r="G720" i="51"/>
  <c r="G713" i="51"/>
  <c r="G665" i="51"/>
  <c r="E661" i="51"/>
  <c r="C648" i="51"/>
  <c r="E643" i="51"/>
  <c r="G633" i="51"/>
  <c r="G624" i="51"/>
  <c r="E616" i="51"/>
  <c r="E611" i="51"/>
  <c r="E606" i="51"/>
  <c r="C602" i="51"/>
  <c r="D597" i="51"/>
  <c r="D592" i="51"/>
  <c r="G588" i="51"/>
  <c r="D584" i="51"/>
  <c r="D580" i="51"/>
  <c r="G571" i="51"/>
  <c r="D567" i="51"/>
  <c r="C563" i="51"/>
  <c r="G558" i="51"/>
  <c r="E555" i="51"/>
  <c r="D547" i="51"/>
  <c r="E543" i="51"/>
  <c r="E536" i="51"/>
  <c r="E532" i="51"/>
  <c r="D529" i="51"/>
  <c r="C526" i="51"/>
  <c r="D522" i="51"/>
  <c r="C515" i="51"/>
  <c r="G511" i="51"/>
  <c r="E509" i="51"/>
  <c r="D506" i="51"/>
  <c r="G500" i="51"/>
  <c r="E498" i="51"/>
  <c r="G495" i="51"/>
  <c r="D493" i="51"/>
  <c r="G487" i="51"/>
  <c r="E485" i="51"/>
  <c r="C483" i="51"/>
  <c r="E480" i="51"/>
  <c r="G477" i="51"/>
  <c r="E475" i="51"/>
  <c r="G472" i="51"/>
  <c r="E470" i="51"/>
  <c r="G467" i="51"/>
  <c r="C465" i="51"/>
  <c r="C462" i="51"/>
  <c r="D459" i="51"/>
  <c r="G456" i="51"/>
  <c r="E454" i="51"/>
  <c r="C452" i="51"/>
  <c r="D447" i="51"/>
  <c r="G444" i="51"/>
  <c r="E442" i="51"/>
  <c r="C440" i="51"/>
  <c r="C435" i="51"/>
  <c r="D430" i="51"/>
  <c r="G427" i="51"/>
  <c r="E425" i="51"/>
  <c r="C423" i="51"/>
  <c r="C418" i="51"/>
  <c r="D413" i="51"/>
  <c r="C408" i="51"/>
  <c r="D403" i="51"/>
  <c r="E400" i="51"/>
  <c r="E397" i="51"/>
  <c r="E394" i="51"/>
  <c r="C392" i="51"/>
  <c r="D387" i="51"/>
  <c r="G384" i="51"/>
  <c r="E382" i="51"/>
  <c r="C380" i="51"/>
  <c r="D375" i="51"/>
  <c r="G372" i="51"/>
  <c r="E370" i="51"/>
  <c r="C368" i="51"/>
  <c r="E365" i="51"/>
  <c r="C363" i="51"/>
  <c r="C358" i="51"/>
  <c r="E355" i="51"/>
  <c r="C353" i="51"/>
  <c r="E350" i="51"/>
  <c r="C348" i="51"/>
  <c r="E345" i="51"/>
  <c r="G336" i="51"/>
  <c r="E334" i="51"/>
  <c r="C332" i="51"/>
  <c r="D327" i="51"/>
  <c r="C322" i="51"/>
  <c r="D317" i="51"/>
  <c r="D314" i="51"/>
  <c r="D311" i="51"/>
  <c r="D306" i="51"/>
  <c r="G303" i="51"/>
  <c r="E301" i="51"/>
  <c r="C299" i="51"/>
  <c r="D294" i="51"/>
  <c r="D283" i="51"/>
  <c r="C675" i="51"/>
  <c r="C459" i="51"/>
  <c r="G452" i="51"/>
  <c r="C447" i="51"/>
  <c r="G440" i="51"/>
  <c r="G434" i="51"/>
  <c r="G429" i="51"/>
  <c r="G418" i="51"/>
  <c r="G413" i="51"/>
  <c r="D398" i="51"/>
  <c r="G392" i="51"/>
  <c r="G387" i="51"/>
  <c r="E377" i="51"/>
  <c r="E372" i="51"/>
  <c r="E361" i="51"/>
  <c r="D356" i="51"/>
  <c r="D345" i="51"/>
  <c r="E339" i="51"/>
  <c r="C334" i="51"/>
  <c r="D324" i="51"/>
  <c r="D302" i="51"/>
  <c r="D297" i="51"/>
  <c r="E292" i="51"/>
  <c r="E286" i="51"/>
  <c r="E281" i="51"/>
  <c r="C273" i="51"/>
  <c r="D269" i="51"/>
  <c r="C262" i="51"/>
  <c r="D259" i="51"/>
  <c r="C256" i="51"/>
  <c r="G252" i="51"/>
  <c r="G249" i="51"/>
  <c r="C247" i="51"/>
  <c r="E244" i="51"/>
  <c r="E241" i="51"/>
  <c r="G235" i="51"/>
  <c r="D233" i="51"/>
  <c r="C228" i="51"/>
  <c r="E225" i="51"/>
  <c r="E222" i="51"/>
  <c r="C219" i="51"/>
  <c r="E216" i="51"/>
  <c r="G213" i="51"/>
  <c r="D211" i="51"/>
  <c r="G208" i="51"/>
  <c r="E206" i="51"/>
  <c r="C204" i="51"/>
  <c r="D199" i="51"/>
  <c r="G196" i="51"/>
  <c r="E194" i="51"/>
  <c r="C192" i="51"/>
  <c r="E189" i="51"/>
  <c r="E186" i="51"/>
  <c r="G183" i="51"/>
  <c r="E181" i="51"/>
  <c r="C179" i="51"/>
  <c r="D174" i="51"/>
  <c r="G171" i="51"/>
  <c r="E169" i="51"/>
  <c r="C167" i="51"/>
  <c r="D162" i="51"/>
  <c r="G159" i="51"/>
  <c r="E157" i="51"/>
  <c r="E154" i="51"/>
  <c r="D149" i="51"/>
  <c r="G146" i="51"/>
  <c r="E144" i="51"/>
  <c r="C142" i="51"/>
  <c r="D137" i="51"/>
  <c r="G134" i="51"/>
  <c r="E132" i="51"/>
  <c r="E129" i="51"/>
  <c r="E126" i="51"/>
  <c r="G123" i="51"/>
  <c r="E121" i="51"/>
  <c r="C119" i="51"/>
  <c r="D114" i="51"/>
  <c r="G111" i="51"/>
  <c r="E109" i="51"/>
  <c r="C107" i="51"/>
  <c r="D102" i="51"/>
  <c r="G99" i="51"/>
  <c r="E97" i="51"/>
  <c r="C95" i="51"/>
  <c r="D90" i="51"/>
  <c r="G87" i="51"/>
  <c r="E85" i="51"/>
  <c r="C83" i="51"/>
  <c r="D78" i="51"/>
  <c r="G75" i="51"/>
  <c r="C73" i="51"/>
  <c r="C70" i="51"/>
  <c r="D67" i="51"/>
  <c r="G64" i="51"/>
  <c r="E62" i="51"/>
  <c r="C60" i="51"/>
  <c r="D55" i="51"/>
  <c r="G52" i="51"/>
  <c r="E50" i="51"/>
  <c r="C48" i="51"/>
  <c r="D43" i="51"/>
  <c r="G40" i="51"/>
  <c r="E38" i="51"/>
  <c r="C36" i="51"/>
  <c r="D31" i="51"/>
  <c r="G28" i="51"/>
  <c r="E26" i="51"/>
  <c r="C24" i="51"/>
  <c r="C19" i="51"/>
  <c r="C16" i="51"/>
  <c r="C13" i="51"/>
  <c r="D8" i="51"/>
  <c r="G5" i="51"/>
  <c r="E3" i="51"/>
  <c r="C491" i="55"/>
  <c r="A26" i="20"/>
  <c r="C470" i="55"/>
  <c r="E701" i="51"/>
  <c r="E665" i="51"/>
  <c r="D656" i="51"/>
  <c r="G647" i="51"/>
  <c r="G591" i="51"/>
  <c r="E554" i="51"/>
  <c r="G528" i="51"/>
  <c r="E511" i="51"/>
  <c r="D503" i="51"/>
  <c r="G458" i="51"/>
  <c r="G446" i="51"/>
  <c r="G423" i="51"/>
  <c r="G407" i="51"/>
  <c r="C403" i="51"/>
  <c r="D382" i="51"/>
  <c r="D377" i="51"/>
  <c r="D366" i="51"/>
  <c r="D361" i="51"/>
  <c r="D350" i="51"/>
  <c r="C345" i="51"/>
  <c r="D339" i="51"/>
  <c r="C328" i="51"/>
  <c r="C318" i="51"/>
  <c r="D312" i="51"/>
  <c r="C307" i="51"/>
  <c r="C302" i="51"/>
  <c r="G280" i="51"/>
  <c r="E276" i="51"/>
  <c r="G272" i="51"/>
  <c r="C269" i="51"/>
  <c r="D265" i="51"/>
  <c r="G261" i="51"/>
  <c r="C259" i="51"/>
  <c r="G246" i="51"/>
  <c r="G243" i="51"/>
  <c r="D241" i="51"/>
  <c r="E238" i="51"/>
  <c r="C233" i="51"/>
  <c r="E230" i="51"/>
  <c r="G227" i="51"/>
  <c r="D225" i="51"/>
  <c r="C222" i="51"/>
  <c r="G218" i="51"/>
  <c r="D216" i="51"/>
  <c r="C211" i="51"/>
  <c r="D206" i="51"/>
  <c r="G203" i="51"/>
  <c r="E201" i="51"/>
  <c r="C199" i="51"/>
  <c r="D194" i="51"/>
  <c r="G191" i="51"/>
  <c r="D189" i="51"/>
  <c r="D186" i="51"/>
  <c r="D181" i="51"/>
  <c r="G178" i="51"/>
  <c r="E176" i="51"/>
  <c r="C174" i="51"/>
  <c r="D169" i="51"/>
  <c r="G166" i="51"/>
  <c r="E164" i="51"/>
  <c r="C162" i="51"/>
  <c r="D157" i="51"/>
  <c r="D154" i="51"/>
  <c r="E151" i="51"/>
  <c r="C149" i="51"/>
  <c r="D144" i="51"/>
  <c r="G141" i="51"/>
  <c r="E139" i="51"/>
  <c r="C137" i="51"/>
  <c r="D132" i="51"/>
  <c r="D129" i="51"/>
  <c r="D126" i="51"/>
  <c r="D121" i="51"/>
  <c r="G118" i="51"/>
  <c r="E116" i="51"/>
  <c r="C114" i="51"/>
  <c r="D109" i="51"/>
  <c r="G106" i="51"/>
  <c r="E104" i="51"/>
  <c r="C102" i="51"/>
  <c r="D97" i="51"/>
  <c r="G94" i="51"/>
  <c r="E92" i="51"/>
  <c r="C90" i="51"/>
  <c r="D85" i="51"/>
  <c r="G82" i="51"/>
  <c r="E80" i="51"/>
  <c r="C78" i="51"/>
  <c r="C67" i="51"/>
  <c r="D62" i="51"/>
  <c r="G59" i="51"/>
  <c r="E57" i="51"/>
  <c r="C55" i="51"/>
  <c r="D50" i="51"/>
  <c r="G47" i="51"/>
  <c r="E45" i="51"/>
  <c r="C43" i="51"/>
  <c r="D38" i="51"/>
  <c r="G35" i="51"/>
  <c r="E33" i="51"/>
  <c r="C31" i="51"/>
  <c r="D26" i="51"/>
  <c r="G23" i="51"/>
  <c r="E21" i="51"/>
  <c r="G12" i="51"/>
  <c r="E10" i="51"/>
  <c r="C8" i="51"/>
  <c r="D3" i="51"/>
  <c r="C490" i="55"/>
  <c r="C483" i="55"/>
  <c r="C475" i="55"/>
  <c r="C28" i="44"/>
  <c r="C54" i="43"/>
  <c r="A38" i="44"/>
  <c r="C463" i="55"/>
  <c r="I63" i="43"/>
  <c r="E28" i="42"/>
  <c r="K54" i="34"/>
  <c r="G84" i="9"/>
  <c r="O82" i="34"/>
  <c r="C435" i="55"/>
  <c r="A46" i="34"/>
  <c r="C430" i="55"/>
  <c r="C42" i="44"/>
  <c r="A78" i="34"/>
  <c r="C440" i="55"/>
  <c r="E84" i="9"/>
  <c r="C656" i="51"/>
  <c r="D638" i="51"/>
  <c r="E629" i="51"/>
  <c r="C620" i="51"/>
  <c r="E601" i="51"/>
  <c r="G562" i="51"/>
  <c r="D536" i="51"/>
  <c r="C503" i="51"/>
  <c r="E495" i="51"/>
  <c r="D480" i="51"/>
  <c r="G451" i="51"/>
  <c r="G439" i="51"/>
  <c r="G417" i="51"/>
  <c r="C413" i="51"/>
  <c r="D397" i="51"/>
  <c r="G391" i="51"/>
  <c r="C387" i="51"/>
  <c r="C382" i="51"/>
  <c r="D371" i="51"/>
  <c r="C366" i="51"/>
  <c r="D355" i="51"/>
  <c r="C350" i="51"/>
  <c r="G332" i="51"/>
  <c r="G327" i="51"/>
  <c r="C323" i="51"/>
  <c r="G317" i="51"/>
  <c r="C312" i="51"/>
  <c r="G306" i="51"/>
  <c r="E296" i="51"/>
  <c r="E291" i="51"/>
  <c r="E285" i="51"/>
  <c r="G275" i="51"/>
  <c r="C265" i="51"/>
  <c r="E255" i="51"/>
  <c r="E252" i="51"/>
  <c r="E249" i="51"/>
  <c r="C241" i="51"/>
  <c r="D238" i="51"/>
  <c r="E235" i="51"/>
  <c r="G232" i="51"/>
  <c r="D230" i="51"/>
  <c r="G224" i="51"/>
  <c r="C216" i="51"/>
  <c r="E213" i="51"/>
  <c r="G210" i="51"/>
  <c r="E208" i="51"/>
  <c r="C206" i="51"/>
  <c r="D201" i="51"/>
  <c r="G198" i="51"/>
  <c r="E196" i="51"/>
  <c r="C194" i="51"/>
  <c r="C189" i="51"/>
  <c r="C186" i="51"/>
  <c r="E183" i="51"/>
  <c r="C181" i="51"/>
  <c r="D176" i="51"/>
  <c r="G173" i="51"/>
  <c r="E171" i="51"/>
  <c r="C169" i="51"/>
  <c r="D164" i="51"/>
  <c r="G161" i="51"/>
  <c r="E159" i="51"/>
  <c r="C157" i="51"/>
  <c r="C154" i="51"/>
  <c r="D151" i="51"/>
  <c r="G148" i="51"/>
  <c r="E146" i="51"/>
  <c r="C144" i="51"/>
  <c r="D139" i="51"/>
  <c r="G136" i="51"/>
  <c r="E134" i="51"/>
  <c r="C132" i="51"/>
  <c r="C129" i="51"/>
  <c r="C126" i="51"/>
  <c r="E123" i="51"/>
  <c r="C121" i="51"/>
  <c r="D116" i="51"/>
  <c r="G113" i="51"/>
  <c r="E111" i="51"/>
  <c r="C109" i="51"/>
  <c r="D104" i="51"/>
  <c r="G101" i="51"/>
  <c r="E99" i="51"/>
  <c r="C97" i="51"/>
  <c r="D92" i="51"/>
  <c r="G89" i="51"/>
  <c r="E87" i="51"/>
  <c r="C85" i="51"/>
  <c r="D80" i="51"/>
  <c r="G77" i="51"/>
  <c r="E75" i="51"/>
  <c r="E72" i="51"/>
  <c r="E69" i="51"/>
  <c r="G66" i="51"/>
  <c r="E64" i="51"/>
  <c r="C62" i="51"/>
  <c r="D57" i="51"/>
  <c r="G54" i="51"/>
  <c r="E52" i="51"/>
  <c r="C50" i="51"/>
  <c r="D45" i="51"/>
  <c r="G42" i="51"/>
  <c r="E40" i="51"/>
  <c r="C38" i="51"/>
  <c r="D33" i="51"/>
  <c r="G30" i="51"/>
  <c r="E28" i="51"/>
  <c r="C26" i="51"/>
  <c r="D21" i="51"/>
  <c r="E18" i="51"/>
  <c r="E15" i="51"/>
  <c r="D10" i="51"/>
  <c r="G7" i="51"/>
  <c r="E5" i="51"/>
  <c r="C3" i="51"/>
  <c r="C489" i="55"/>
  <c r="C482" i="55"/>
  <c r="C477" i="55"/>
  <c r="I64" i="9"/>
  <c r="K84" i="9"/>
  <c r="A24" i="42"/>
  <c r="C690" i="51"/>
  <c r="C638" i="51"/>
  <c r="C629" i="51"/>
  <c r="G619" i="51"/>
  <c r="C610" i="51"/>
  <c r="C536" i="51"/>
  <c r="D518" i="51"/>
  <c r="E487" i="51"/>
  <c r="C480" i="51"/>
  <c r="E472" i="51"/>
  <c r="E464" i="51"/>
  <c r="E433" i="51"/>
  <c r="E428" i="51"/>
  <c r="G422" i="51"/>
  <c r="C397" i="51"/>
  <c r="G386" i="51"/>
  <c r="C376" i="51"/>
  <c r="C371" i="51"/>
  <c r="E360" i="51"/>
  <c r="C355" i="51"/>
  <c r="D301" i="51"/>
  <c r="D296" i="51"/>
  <c r="D291" i="51"/>
  <c r="D285" i="51"/>
  <c r="E280" i="51"/>
  <c r="E272" i="51"/>
  <c r="E268" i="51"/>
  <c r="E261" i="51"/>
  <c r="E258" i="51"/>
  <c r="D255" i="51"/>
  <c r="D252" i="51"/>
  <c r="D249" i="51"/>
  <c r="D246" i="51"/>
  <c r="E243" i="51"/>
  <c r="G240" i="51"/>
  <c r="C238" i="51"/>
  <c r="D235" i="51"/>
  <c r="C230" i="51"/>
  <c r="D227" i="51"/>
  <c r="E221" i="51"/>
  <c r="E218" i="51"/>
  <c r="G215" i="51"/>
  <c r="D213" i="51"/>
  <c r="D208" i="51"/>
  <c r="G205" i="51"/>
  <c r="E203" i="51"/>
  <c r="C201" i="51"/>
  <c r="D196" i="51"/>
  <c r="G193" i="51"/>
  <c r="E191" i="51"/>
  <c r="D183" i="51"/>
  <c r="G180" i="51"/>
  <c r="E178" i="51"/>
  <c r="C176" i="51"/>
  <c r="D171" i="51"/>
  <c r="G168" i="51"/>
  <c r="E166" i="51"/>
  <c r="C164" i="51"/>
  <c r="D159" i="51"/>
  <c r="C151" i="51"/>
  <c r="D146" i="51"/>
  <c r="G143" i="51"/>
  <c r="E141" i="51"/>
  <c r="C139" i="51"/>
  <c r="D134" i="51"/>
  <c r="D123" i="51"/>
  <c r="G120" i="51"/>
  <c r="E118" i="51"/>
  <c r="C116" i="51"/>
  <c r="D111" i="51"/>
  <c r="G108" i="51"/>
  <c r="E106" i="51"/>
  <c r="C104" i="51"/>
  <c r="D99" i="51"/>
  <c r="G96" i="51"/>
  <c r="E94" i="51"/>
  <c r="C92" i="51"/>
  <c r="D87" i="51"/>
  <c r="G84" i="51"/>
  <c r="E82" i="51"/>
  <c r="C80" i="51"/>
  <c r="D75" i="51"/>
  <c r="D72" i="51"/>
  <c r="D69" i="51"/>
  <c r="D64" i="51"/>
  <c r="G61" i="51"/>
  <c r="E59" i="51"/>
  <c r="C57" i="51"/>
  <c r="D52" i="51"/>
  <c r="G49" i="51"/>
  <c r="E47" i="51"/>
  <c r="C45" i="51"/>
  <c r="D40" i="51"/>
  <c r="G37" i="51"/>
  <c r="E35" i="51"/>
  <c r="C33" i="51"/>
  <c r="D28" i="51"/>
  <c r="G25" i="51"/>
  <c r="E23" i="51"/>
  <c r="C21" i="51"/>
  <c r="D18" i="51"/>
  <c r="D15" i="51"/>
  <c r="E12" i="51"/>
  <c r="C10" i="51"/>
  <c r="D5" i="51"/>
  <c r="E680" i="51"/>
  <c r="E571" i="51"/>
  <c r="C518" i="51"/>
  <c r="C509" i="51"/>
  <c r="E406" i="51"/>
  <c r="E401" i="51"/>
  <c r="G380" i="51"/>
  <c r="G375" i="51"/>
  <c r="D365" i="51"/>
  <c r="D360" i="51"/>
  <c r="G348" i="51"/>
  <c r="E343" i="51"/>
  <c r="E337" i="51"/>
  <c r="G331" i="51"/>
  <c r="C327" i="51"/>
  <c r="G321" i="51"/>
  <c r="C317" i="51"/>
  <c r="C311" i="51"/>
  <c r="C306" i="51"/>
  <c r="C301" i="51"/>
  <c r="E275" i="51"/>
  <c r="D268" i="51"/>
  <c r="E264" i="51"/>
  <c r="D261" i="51"/>
  <c r="D258" i="51"/>
  <c r="C255" i="51"/>
  <c r="G251" i="51"/>
  <c r="C246" i="51"/>
  <c r="D243" i="51"/>
  <c r="G237" i="51"/>
  <c r="C235" i="51"/>
  <c r="E232" i="51"/>
  <c r="C227" i="51"/>
  <c r="E224" i="51"/>
  <c r="D221" i="51"/>
  <c r="D218" i="51"/>
  <c r="C213" i="51"/>
  <c r="E210" i="51"/>
  <c r="C208" i="51"/>
  <c r="D203" i="51"/>
  <c r="G200" i="51"/>
  <c r="E198" i="51"/>
  <c r="C196" i="51"/>
  <c r="D191" i="51"/>
  <c r="E188" i="51"/>
  <c r="E185" i="51"/>
  <c r="C183" i="51"/>
  <c r="D178" i="51"/>
  <c r="G175" i="51"/>
  <c r="E173" i="51"/>
  <c r="C171" i="51"/>
  <c r="D166" i="51"/>
  <c r="G163" i="51"/>
  <c r="E161" i="51"/>
  <c r="C159" i="51"/>
  <c r="E156" i="51"/>
  <c r="E153" i="51"/>
  <c r="G150" i="51"/>
  <c r="E148" i="51"/>
  <c r="C146" i="51"/>
  <c r="D141" i="51"/>
  <c r="G138" i="51"/>
  <c r="E136" i="51"/>
  <c r="C134" i="51"/>
  <c r="E131" i="51"/>
  <c r="E128" i="51"/>
  <c r="E125" i="51"/>
  <c r="C123" i="51"/>
  <c r="D118" i="51"/>
  <c r="G115" i="51"/>
  <c r="E113" i="51"/>
  <c r="C111" i="51"/>
  <c r="D106" i="51"/>
  <c r="G103" i="51"/>
  <c r="E101" i="51"/>
  <c r="C99" i="51"/>
  <c r="D94" i="51"/>
  <c r="G91" i="51"/>
  <c r="E89" i="51"/>
  <c r="C87" i="51"/>
  <c r="D82" i="51"/>
  <c r="G79" i="51"/>
  <c r="E77" i="51"/>
  <c r="C75" i="51"/>
  <c r="C72" i="51"/>
  <c r="C69" i="51"/>
  <c r="E66" i="51"/>
  <c r="C64" i="51"/>
  <c r="D59" i="51"/>
  <c r="G56" i="51"/>
  <c r="E54" i="51"/>
  <c r="C52" i="51"/>
  <c r="D47" i="51"/>
  <c r="G44" i="51"/>
  <c r="E42" i="51"/>
  <c r="C40" i="51"/>
  <c r="D35" i="51"/>
  <c r="G32" i="51"/>
  <c r="E30" i="51"/>
  <c r="C28" i="51"/>
  <c r="D23" i="51"/>
  <c r="G20" i="51"/>
  <c r="C18" i="51"/>
  <c r="C15" i="51"/>
  <c r="D12" i="51"/>
  <c r="G9" i="51"/>
  <c r="E7" i="51"/>
  <c r="C5" i="51"/>
  <c r="C487" i="55"/>
  <c r="C680" i="51"/>
  <c r="D579" i="51"/>
  <c r="E551" i="51"/>
  <c r="E542" i="51"/>
  <c r="G508" i="51"/>
  <c r="C493" i="51"/>
  <c r="C463" i="51"/>
  <c r="E456" i="51"/>
  <c r="E450" i="51"/>
  <c r="E444" i="51"/>
  <c r="E438" i="51"/>
  <c r="E432" i="51"/>
  <c r="E427" i="51"/>
  <c r="E416" i="51"/>
  <c r="E411" i="51"/>
  <c r="D406" i="51"/>
  <c r="D401" i="51"/>
  <c r="E390" i="51"/>
  <c r="D370" i="51"/>
  <c r="C365" i="51"/>
  <c r="G353" i="51"/>
  <c r="G326" i="51"/>
  <c r="G305" i="51"/>
  <c r="C295" i="51"/>
  <c r="C284" i="51"/>
  <c r="D279" i="51"/>
  <c r="C275" i="51"/>
  <c r="E271" i="51"/>
  <c r="C268" i="51"/>
  <c r="D264" i="51"/>
  <c r="C261" i="51"/>
  <c r="C258" i="51"/>
  <c r="E248" i="51"/>
  <c r="G245" i="51"/>
  <c r="C243" i="51"/>
  <c r="E240" i="51"/>
  <c r="G234" i="51"/>
  <c r="C232" i="51"/>
  <c r="E229" i="51"/>
  <c r="G226" i="51"/>
  <c r="D224" i="51"/>
  <c r="C221" i="51"/>
  <c r="C218" i="51"/>
  <c r="E215" i="51"/>
  <c r="G212" i="51"/>
  <c r="D210" i="51"/>
  <c r="G207" i="51"/>
  <c r="E205" i="51"/>
  <c r="C203" i="51"/>
  <c r="D198" i="51"/>
  <c r="G195" i="51"/>
  <c r="E193" i="51"/>
  <c r="C191" i="51"/>
  <c r="D188" i="51"/>
  <c r="D185" i="51"/>
  <c r="G182" i="51"/>
  <c r="C707" i="51"/>
  <c r="D670" i="51"/>
  <c r="D661" i="51"/>
  <c r="C551" i="51"/>
  <c r="C525" i="51"/>
  <c r="E500" i="51"/>
  <c r="G492" i="51"/>
  <c r="D485" i="51"/>
  <c r="D470" i="51"/>
  <c r="D432" i="51"/>
  <c r="E421" i="51"/>
  <c r="D416" i="51"/>
  <c r="D411" i="51"/>
  <c r="E395" i="51"/>
  <c r="D390" i="51"/>
  <c r="E385" i="51"/>
  <c r="G379" i="51"/>
  <c r="C375" i="51"/>
  <c r="C370" i="51"/>
  <c r="G358" i="51"/>
  <c r="G347" i="51"/>
  <c r="E342" i="51"/>
  <c r="E336" i="51"/>
  <c r="G299" i="51"/>
  <c r="G294" i="51"/>
  <c r="E289" i="51"/>
  <c r="G283" i="51"/>
  <c r="C279" i="51"/>
  <c r="C271" i="51"/>
  <c r="G263" i="51"/>
  <c r="G260" i="51"/>
  <c r="E254" i="51"/>
  <c r="C251" i="51"/>
  <c r="D248" i="51"/>
  <c r="G242" i="51"/>
  <c r="D240" i="51"/>
  <c r="E237" i="51"/>
  <c r="G231" i="51"/>
  <c r="D229" i="51"/>
  <c r="C224" i="51"/>
  <c r="G217" i="51"/>
  <c r="D215" i="51"/>
  <c r="C210" i="51"/>
  <c r="D205" i="51"/>
  <c r="G202" i="51"/>
  <c r="E200" i="51"/>
  <c r="C198" i="51"/>
  <c r="D193" i="51"/>
  <c r="G190" i="51"/>
  <c r="C188" i="51"/>
  <c r="C185" i="51"/>
  <c r="D180" i="51"/>
  <c r="G177" i="51"/>
  <c r="E175" i="51"/>
  <c r="C173" i="51"/>
  <c r="C670" i="51"/>
  <c r="G660" i="51"/>
  <c r="C643" i="51"/>
  <c r="C485" i="51"/>
  <c r="E477" i="51"/>
  <c r="C470" i="51"/>
  <c r="D455" i="51"/>
  <c r="E449" i="51"/>
  <c r="D443" i="51"/>
  <c r="E437" i="51"/>
  <c r="D426" i="51"/>
  <c r="D421" i="51"/>
  <c r="E405" i="51"/>
  <c r="D400" i="51"/>
  <c r="D395" i="51"/>
  <c r="G374" i="51"/>
  <c r="G363" i="51"/>
  <c r="G352" i="51"/>
  <c r="D342" i="51"/>
  <c r="E330" i="51"/>
  <c r="E320" i="51"/>
  <c r="D315" i="51"/>
  <c r="E309" i="51"/>
  <c r="C274" i="51"/>
  <c r="G270" i="51"/>
  <c r="G266" i="51"/>
  <c r="E257" i="51"/>
  <c r="D254" i="51"/>
  <c r="G250" i="51"/>
  <c r="C248" i="51"/>
  <c r="E245" i="51"/>
  <c r="C240" i="51"/>
  <c r="D237" i="51"/>
  <c r="D234" i="51"/>
  <c r="C229" i="51"/>
  <c r="E226" i="51"/>
  <c r="E220" i="51"/>
  <c r="C215" i="51"/>
  <c r="E212" i="51"/>
  <c r="G209" i="51"/>
  <c r="E207" i="51"/>
  <c r="C205" i="51"/>
  <c r="D200" i="51"/>
  <c r="G197" i="51"/>
  <c r="E195" i="51"/>
  <c r="C193" i="51"/>
  <c r="G184" i="51"/>
  <c r="E182" i="51"/>
  <c r="C180" i="51"/>
  <c r="D175" i="51"/>
  <c r="G172" i="51"/>
  <c r="E170" i="51"/>
  <c r="C168" i="51"/>
  <c r="D163" i="51"/>
  <c r="G160" i="51"/>
  <c r="E158" i="51"/>
  <c r="D150" i="51"/>
  <c r="G147" i="51"/>
  <c r="E145" i="51"/>
  <c r="C143" i="51"/>
  <c r="D138" i="51"/>
  <c r="G135" i="51"/>
  <c r="E133" i="51"/>
  <c r="G124" i="51"/>
  <c r="E122" i="51"/>
  <c r="C120" i="51"/>
  <c r="D115" i="51"/>
  <c r="G112" i="51"/>
  <c r="E110" i="51"/>
  <c r="C108" i="51"/>
  <c r="D103" i="51"/>
  <c r="G100" i="51"/>
  <c r="E98" i="51"/>
  <c r="C96" i="51"/>
  <c r="D91" i="51"/>
  <c r="G88" i="51"/>
  <c r="E86" i="51"/>
  <c r="C84" i="51"/>
  <c r="D79" i="51"/>
  <c r="G76" i="51"/>
  <c r="D74" i="51"/>
  <c r="D71" i="51"/>
  <c r="D68" i="51"/>
  <c r="G65" i="51"/>
  <c r="E63" i="51"/>
  <c r="C61" i="51"/>
  <c r="D56" i="51"/>
  <c r="G53" i="51"/>
  <c r="E51" i="51"/>
  <c r="C49" i="51"/>
  <c r="D44" i="51"/>
  <c r="G41" i="51"/>
  <c r="E39" i="51"/>
  <c r="C37" i="51"/>
  <c r="D32" i="51"/>
  <c r="G29" i="51"/>
  <c r="E27" i="51"/>
  <c r="C25" i="51"/>
  <c r="D20" i="51"/>
  <c r="D17" i="51"/>
  <c r="D14" i="51"/>
  <c r="D9" i="51"/>
  <c r="G6" i="51"/>
  <c r="E4" i="51"/>
  <c r="C2" i="51"/>
  <c r="C484" i="55"/>
  <c r="G14" i="9"/>
  <c r="C474" i="55"/>
  <c r="K70" i="34"/>
  <c r="G50" i="43"/>
  <c r="A45" i="43"/>
  <c r="E76" i="9"/>
  <c r="I54" i="43"/>
  <c r="C416" i="55"/>
  <c r="M82" i="34"/>
  <c r="C38" i="44"/>
  <c r="A66" i="34"/>
  <c r="C455" i="55"/>
  <c r="C33" i="44"/>
  <c r="C67" i="43"/>
  <c r="E54" i="43"/>
  <c r="C41" i="32"/>
  <c r="A76" i="9"/>
  <c r="A41" i="32"/>
  <c r="A70" i="34"/>
  <c r="E695" i="51"/>
  <c r="E651" i="51"/>
  <c r="G642" i="51"/>
  <c r="D606" i="51"/>
  <c r="E596" i="51"/>
  <c r="E558" i="51"/>
  <c r="D532" i="51"/>
  <c r="G514" i="51"/>
  <c r="E461" i="51"/>
  <c r="D449" i="51"/>
  <c r="D437" i="51"/>
  <c r="C431" i="51"/>
  <c r="C426" i="51"/>
  <c r="E415" i="51"/>
  <c r="E410" i="51"/>
  <c r="D405" i="51"/>
  <c r="C400" i="51"/>
  <c r="E389" i="51"/>
  <c r="E384" i="51"/>
  <c r="G368" i="51"/>
  <c r="G357" i="51"/>
  <c r="D335" i="51"/>
  <c r="D330" i="51"/>
  <c r="E325" i="51"/>
  <c r="D320" i="51"/>
  <c r="C315" i="51"/>
  <c r="D309" i="51"/>
  <c r="E304" i="51"/>
  <c r="G298" i="51"/>
  <c r="C294" i="51"/>
  <c r="E288" i="51"/>
  <c r="C283" i="51"/>
  <c r="E278" i="51"/>
  <c r="G273" i="51"/>
  <c r="E263" i="51"/>
  <c r="E260" i="51"/>
  <c r="D257" i="51"/>
  <c r="G247" i="51"/>
  <c r="D245" i="51"/>
  <c r="E242" i="51"/>
  <c r="G239" i="51"/>
  <c r="C234" i="51"/>
  <c r="E231" i="51"/>
  <c r="G228" i="51"/>
  <c r="D226" i="51"/>
  <c r="E223" i="51"/>
  <c r="D220" i="51"/>
  <c r="E217" i="51"/>
  <c r="G214" i="51"/>
  <c r="D212" i="51"/>
  <c r="D207" i="51"/>
  <c r="G204" i="51"/>
  <c r="E202" i="51"/>
  <c r="C200" i="51"/>
  <c r="D195" i="51"/>
  <c r="G192" i="51"/>
  <c r="E190" i="51"/>
  <c r="E187" i="51"/>
  <c r="D182" i="51"/>
  <c r="G179" i="51"/>
  <c r="E177" i="51"/>
  <c r="C175" i="51"/>
  <c r="D170" i="51"/>
  <c r="G167" i="51"/>
  <c r="E165" i="51"/>
  <c r="C163" i="51"/>
  <c r="D158" i="51"/>
  <c r="E155" i="51"/>
  <c r="E152" i="51"/>
  <c r="C150" i="51"/>
  <c r="D145" i="51"/>
  <c r="G142" i="51"/>
  <c r="E140" i="51"/>
  <c r="C138" i="51"/>
  <c r="D133" i="51"/>
  <c r="E130" i="51"/>
  <c r="E127" i="51"/>
  <c r="D122" i="51"/>
  <c r="G119" i="51"/>
  <c r="E117" i="51"/>
  <c r="C115" i="51"/>
  <c r="D110" i="51"/>
  <c r="G107" i="51"/>
  <c r="E105" i="51"/>
  <c r="C103" i="51"/>
  <c r="D98" i="51"/>
  <c r="G95" i="51"/>
  <c r="E93" i="51"/>
  <c r="C91" i="51"/>
  <c r="D86" i="51"/>
  <c r="G83" i="51"/>
  <c r="E81" i="51"/>
  <c r="C79" i="51"/>
  <c r="C74" i="51"/>
  <c r="C71" i="51"/>
  <c r="G694" i="51"/>
  <c r="D685" i="51"/>
  <c r="D651" i="51"/>
  <c r="E633" i="51"/>
  <c r="D624" i="51"/>
  <c r="D615" i="51"/>
  <c r="C567" i="51"/>
  <c r="E539" i="51"/>
  <c r="C532" i="51"/>
  <c r="C506" i="51"/>
  <c r="D498" i="51"/>
  <c r="D454" i="51"/>
  <c r="D442" i="51"/>
  <c r="G430" i="51"/>
  <c r="E420" i="51"/>
  <c r="D415" i="51"/>
  <c r="D410" i="51"/>
  <c r="D394" i="51"/>
  <c r="D389" i="51"/>
  <c r="E378" i="51"/>
  <c r="G362" i="51"/>
  <c r="E346" i="51"/>
  <c r="C335" i="51"/>
  <c r="D325" i="51"/>
  <c r="G293" i="51"/>
  <c r="D288" i="51"/>
  <c r="G282" i="51"/>
  <c r="D278" i="51"/>
  <c r="E270" i="51"/>
  <c r="D266" i="51"/>
  <c r="D263" i="51"/>
  <c r="D260" i="51"/>
  <c r="E253" i="51"/>
  <c r="E250" i="51"/>
  <c r="C245" i="51"/>
  <c r="D242" i="51"/>
  <c r="E236" i="51"/>
  <c r="G233" i="51"/>
  <c r="D231" i="51"/>
  <c r="C226" i="51"/>
  <c r="D223" i="51"/>
  <c r="C220" i="51"/>
  <c r="D217" i="51"/>
  <c r="G211" i="51"/>
  <c r="E209" i="51"/>
  <c r="C207" i="51"/>
  <c r="D202" i="51"/>
  <c r="G199" i="51"/>
  <c r="E197" i="51"/>
  <c r="C195" i="51"/>
  <c r="D190" i="51"/>
  <c r="D187" i="51"/>
  <c r="E184" i="51"/>
  <c r="C182" i="51"/>
  <c r="D177" i="51"/>
  <c r="G174" i="51"/>
  <c r="E172" i="51"/>
  <c r="C170" i="51"/>
  <c r="D165" i="51"/>
  <c r="G162" i="51"/>
  <c r="E160" i="51"/>
  <c r="C158" i="51"/>
  <c r="D155" i="51"/>
  <c r="D152" i="51"/>
  <c r="G149" i="51"/>
  <c r="E147" i="51"/>
  <c r="C145" i="51"/>
  <c r="D140" i="51"/>
  <c r="G137" i="51"/>
  <c r="E135" i="51"/>
  <c r="C133" i="51"/>
  <c r="D130" i="51"/>
  <c r="D127" i="51"/>
  <c r="E124" i="51"/>
  <c r="C122" i="51"/>
  <c r="D117" i="51"/>
  <c r="G114" i="51"/>
  <c r="E112" i="51"/>
  <c r="C110" i="51"/>
  <c r="D105" i="51"/>
  <c r="G102" i="51"/>
  <c r="E100" i="51"/>
  <c r="C98" i="51"/>
  <c r="D93" i="51"/>
  <c r="G90" i="51"/>
  <c r="E88" i="51"/>
  <c r="C86" i="51"/>
  <c r="D81" i="51"/>
  <c r="G78" i="51"/>
  <c r="E76" i="51"/>
  <c r="G67" i="51"/>
  <c r="E65" i="51"/>
  <c r="C63" i="51"/>
  <c r="D58" i="51"/>
  <c r="G55" i="51"/>
  <c r="E53" i="51"/>
  <c r="C51" i="51"/>
  <c r="D46" i="51"/>
  <c r="G43" i="51"/>
  <c r="E41" i="51"/>
  <c r="C39" i="51"/>
  <c r="D34" i="51"/>
  <c r="G31" i="51"/>
  <c r="E29" i="51"/>
  <c r="C27" i="51"/>
  <c r="D22" i="51"/>
  <c r="D11" i="51"/>
  <c r="G8" i="51"/>
  <c r="E6" i="51"/>
  <c r="C4" i="51"/>
  <c r="C494" i="55"/>
  <c r="G43" i="20"/>
  <c r="C480" i="55"/>
  <c r="C476" i="55"/>
  <c r="K58" i="34"/>
  <c r="M64" i="9"/>
  <c r="G67" i="43"/>
  <c r="C19" i="42"/>
  <c r="C457" i="55"/>
  <c r="E62" i="34"/>
  <c r="A72" i="9"/>
  <c r="I60" i="9"/>
  <c r="M78" i="34"/>
  <c r="M86" i="34"/>
  <c r="G684" i="51"/>
  <c r="C584" i="51"/>
  <c r="E575" i="51"/>
  <c r="D539" i="51"/>
  <c r="C522" i="51"/>
  <c r="C498" i="51"/>
  <c r="E490" i="51"/>
  <c r="D475" i="51"/>
  <c r="C460" i="51"/>
  <c r="C454" i="51"/>
  <c r="C448" i="51"/>
  <c r="C442" i="51"/>
  <c r="G435" i="51"/>
  <c r="D425" i="51"/>
  <c r="D420" i="51"/>
  <c r="C404" i="51"/>
  <c r="C394" i="51"/>
  <c r="D383" i="51"/>
  <c r="D378" i="51"/>
  <c r="E373" i="51"/>
  <c r="G367" i="51"/>
  <c r="D351" i="51"/>
  <c r="D346" i="51"/>
  <c r="E340" i="51"/>
  <c r="E329" i="51"/>
  <c r="E319" i="51"/>
  <c r="C314" i="51"/>
  <c r="E308" i="51"/>
  <c r="E303" i="51"/>
  <c r="C278" i="51"/>
  <c r="E273" i="51"/>
  <c r="C270" i="51"/>
  <c r="C266" i="51"/>
  <c r="G262" i="51"/>
  <c r="E256" i="51"/>
  <c r="D253" i="51"/>
  <c r="D250" i="51"/>
  <c r="E247" i="51"/>
  <c r="G244" i="51"/>
  <c r="C242" i="51"/>
  <c r="C239" i="51"/>
  <c r="D236" i="51"/>
  <c r="C231" i="51"/>
  <c r="E228" i="51"/>
  <c r="G225" i="51"/>
  <c r="C223" i="51"/>
  <c r="D675" i="51"/>
  <c r="G583" i="51"/>
  <c r="D575" i="51"/>
  <c r="C547" i="51"/>
  <c r="D490" i="51"/>
  <c r="E482" i="51"/>
  <c r="C475" i="51"/>
  <c r="E467" i="51"/>
  <c r="C430" i="51"/>
  <c r="C425" i="51"/>
  <c r="C414" i="51"/>
  <c r="C409" i="51"/>
  <c r="G403" i="51"/>
  <c r="E398" i="51"/>
  <c r="C388" i="51"/>
  <c r="C383" i="51"/>
  <c r="E356" i="51"/>
  <c r="C351" i="51"/>
  <c r="D334" i="51"/>
  <c r="D329" i="51"/>
  <c r="E324" i="51"/>
  <c r="D319" i="51"/>
  <c r="D308" i="51"/>
  <c r="E297" i="51"/>
  <c r="D273" i="51"/>
  <c r="G265" i="51"/>
  <c r="E259" i="51"/>
  <c r="D256" i="51"/>
  <c r="C253" i="51"/>
  <c r="C250" i="51"/>
  <c r="D247" i="51"/>
  <c r="G238" i="51"/>
  <c r="C236" i="51"/>
  <c r="E233" i="51"/>
  <c r="G230" i="51"/>
  <c r="D228" i="51"/>
  <c r="E219" i="51"/>
  <c r="C214" i="51"/>
  <c r="E211" i="51"/>
  <c r="C209" i="51"/>
  <c r="D204" i="51"/>
  <c r="G201" i="51"/>
  <c r="E199" i="51"/>
  <c r="C197" i="51"/>
  <c r="D192" i="51"/>
  <c r="C184" i="51"/>
  <c r="D179" i="51"/>
  <c r="G176" i="51"/>
  <c r="E174" i="51"/>
  <c r="C172" i="51"/>
  <c r="D167" i="51"/>
  <c r="G164" i="51"/>
  <c r="E162" i="51"/>
  <c r="C160" i="51"/>
  <c r="G151" i="51"/>
  <c r="E149" i="51"/>
  <c r="C147" i="51"/>
  <c r="D142" i="51"/>
  <c r="G139" i="51"/>
  <c r="E137" i="51"/>
  <c r="C135" i="51"/>
  <c r="C124" i="51"/>
  <c r="D119" i="51"/>
  <c r="G116" i="51"/>
  <c r="E114" i="51"/>
  <c r="C112" i="51"/>
  <c r="D107" i="51"/>
  <c r="G104" i="51"/>
  <c r="E102" i="51"/>
  <c r="C100" i="51"/>
  <c r="D95" i="51"/>
  <c r="G92" i="51"/>
  <c r="E90" i="51"/>
  <c r="C88" i="51"/>
  <c r="D83" i="51"/>
  <c r="G80" i="51"/>
  <c r="E78" i="51"/>
  <c r="C76" i="51"/>
  <c r="D73" i="51"/>
  <c r="D70" i="51"/>
  <c r="E67" i="51"/>
  <c r="C65" i="51"/>
  <c r="D60" i="51"/>
  <c r="G57" i="51"/>
  <c r="E55" i="51"/>
  <c r="C53" i="51"/>
  <c r="D48" i="51"/>
  <c r="G45" i="51"/>
  <c r="E43" i="51"/>
  <c r="C41" i="51"/>
  <c r="D36" i="51"/>
  <c r="G33" i="51"/>
  <c r="E31" i="51"/>
  <c r="C29" i="51"/>
  <c r="D24" i="51"/>
  <c r="E192" i="51"/>
  <c r="E163" i="51"/>
  <c r="E120" i="51"/>
  <c r="E108" i="51"/>
  <c r="E96" i="51"/>
  <c r="E84" i="51"/>
  <c r="G34" i="51"/>
  <c r="C20" i="51"/>
  <c r="G10" i="51"/>
  <c r="C6" i="51"/>
  <c r="C493" i="55"/>
  <c r="C479" i="55"/>
  <c r="G74" i="34"/>
  <c r="C413" i="55"/>
  <c r="E24" i="42"/>
  <c r="C460" i="55"/>
  <c r="E51" i="9"/>
  <c r="C427" i="55"/>
  <c r="C24" i="42"/>
  <c r="M60" i="9"/>
  <c r="E56" i="9"/>
  <c r="A84" i="9"/>
  <c r="O86" i="34"/>
  <c r="A64" i="9"/>
  <c r="C436" i="55"/>
  <c r="A74" i="34"/>
  <c r="A44" i="9"/>
  <c r="I74" i="34"/>
  <c r="E58" i="34"/>
  <c r="A40" i="9"/>
  <c r="C400" i="55"/>
  <c r="C401" i="55"/>
  <c r="A41" i="38"/>
  <c r="C377" i="55"/>
  <c r="A39" i="31"/>
  <c r="E21" i="56"/>
  <c r="C229" i="55"/>
  <c r="A13" i="31"/>
  <c r="E4" i="21"/>
  <c r="C200" i="55"/>
  <c r="E9" i="35"/>
  <c r="C273" i="55"/>
  <c r="E45" i="56"/>
  <c r="D14" i="50"/>
  <c r="U4" i="9"/>
  <c r="I14" i="38"/>
  <c r="C75" i="55"/>
  <c r="A23" i="37"/>
  <c r="C310" i="55"/>
  <c r="A12" i="18"/>
  <c r="C69" i="55"/>
  <c r="C27" i="55"/>
  <c r="C337" i="55"/>
  <c r="C340" i="55"/>
  <c r="D209" i="51"/>
  <c r="E168" i="51"/>
  <c r="D156" i="51"/>
  <c r="E150" i="51"/>
  <c r="E138" i="51"/>
  <c r="D120" i="51"/>
  <c r="D108" i="51"/>
  <c r="D96" i="51"/>
  <c r="D84" i="51"/>
  <c r="E71" i="51"/>
  <c r="D65" i="51"/>
  <c r="E60" i="51"/>
  <c r="E49" i="51"/>
  <c r="D39" i="51"/>
  <c r="D29" i="51"/>
  <c r="E24" i="51"/>
  <c r="E14" i="51"/>
  <c r="C492" i="55"/>
  <c r="E34" i="56"/>
  <c r="C444" i="55"/>
  <c r="E70" i="34"/>
  <c r="E46" i="34"/>
  <c r="I50" i="34"/>
  <c r="M76" i="9"/>
  <c r="I76" i="9"/>
  <c r="M18" i="34"/>
  <c r="A38" i="33"/>
  <c r="C465" i="55"/>
  <c r="E64" i="9"/>
  <c r="K60" i="9"/>
  <c r="M66" i="34"/>
  <c r="K82" i="34"/>
  <c r="A86" i="34"/>
  <c r="G63" i="43"/>
  <c r="G78" i="34"/>
  <c r="M84" i="9"/>
  <c r="C396" i="55"/>
  <c r="C408" i="55"/>
  <c r="C390" i="55"/>
  <c r="C370" i="55"/>
  <c r="C352" i="55"/>
  <c r="C363" i="55"/>
  <c r="E15" i="22"/>
  <c r="M4" i="36"/>
  <c r="E5" i="37"/>
  <c r="C4" i="36"/>
  <c r="E51" i="56"/>
  <c r="G10" i="9"/>
  <c r="C31" i="55"/>
  <c r="I5" i="18"/>
  <c r="C344" i="55"/>
  <c r="C188" i="55"/>
  <c r="C147" i="55"/>
  <c r="C10" i="55"/>
  <c r="C41" i="55"/>
  <c r="C8" i="11"/>
  <c r="K5" i="34"/>
  <c r="E13" i="20"/>
  <c r="O32" i="34"/>
  <c r="C4" i="39"/>
  <c r="I5" i="27"/>
  <c r="G3" i="35"/>
  <c r="C234" i="55"/>
  <c r="C34" i="11"/>
  <c r="I8" i="34"/>
  <c r="A1" i="34"/>
  <c r="D11" i="50"/>
  <c r="A4" i="34"/>
  <c r="E16" i="22"/>
  <c r="C256" i="55"/>
  <c r="I12" i="22"/>
  <c r="I15" i="43"/>
  <c r="C14" i="9"/>
  <c r="C10" i="35"/>
  <c r="I4" i="20"/>
  <c r="I4" i="35"/>
  <c r="C134" i="55"/>
  <c r="C303" i="55"/>
  <c r="O27" i="9"/>
  <c r="C218" i="55"/>
  <c r="C12" i="35"/>
  <c r="C54" i="55"/>
  <c r="E5" i="21"/>
  <c r="C330" i="55"/>
  <c r="C11" i="37"/>
  <c r="C9" i="17"/>
  <c r="I8" i="22"/>
  <c r="A10" i="30"/>
  <c r="C195" i="55"/>
  <c r="C17" i="52"/>
  <c r="E5" i="33"/>
  <c r="A1" i="23"/>
  <c r="C14" i="55"/>
  <c r="C189" i="55"/>
  <c r="K4" i="9"/>
  <c r="C143" i="55"/>
  <c r="C68" i="55"/>
  <c r="G181" i="51"/>
  <c r="D168" i="51"/>
  <c r="C156" i="51"/>
  <c r="E143" i="51"/>
  <c r="D131" i="51"/>
  <c r="D125" i="51"/>
  <c r="D113" i="51"/>
  <c r="D101" i="51"/>
  <c r="D89" i="51"/>
  <c r="D77" i="51"/>
  <c r="D54" i="51"/>
  <c r="D49" i="51"/>
  <c r="E44" i="51"/>
  <c r="G38" i="51"/>
  <c r="E34" i="51"/>
  <c r="E19" i="51"/>
  <c r="C14" i="51"/>
  <c r="G4" i="51"/>
  <c r="C488" i="55"/>
  <c r="C472" i="55"/>
  <c r="K78" i="34"/>
  <c r="K68" i="9"/>
  <c r="C431" i="55"/>
  <c r="E60" i="9"/>
  <c r="C443" i="55"/>
  <c r="G60" i="9"/>
  <c r="A68" i="9"/>
  <c r="I51" i="9"/>
  <c r="K72" i="9"/>
  <c r="M62" i="34"/>
  <c r="A34" i="33"/>
  <c r="M74" i="34"/>
  <c r="A62" i="34"/>
  <c r="E50" i="43"/>
  <c r="C50" i="43"/>
  <c r="C447" i="55"/>
  <c r="I59" i="43"/>
  <c r="C402" i="55"/>
  <c r="C392" i="55"/>
  <c r="C412" i="55"/>
  <c r="A1" i="58"/>
  <c r="C369" i="55"/>
  <c r="C351" i="55"/>
  <c r="C354" i="55"/>
  <c r="C259" i="55"/>
  <c r="C186" i="55"/>
  <c r="E46" i="56"/>
  <c r="C289" i="55"/>
  <c r="C2" i="52"/>
  <c r="M8" i="9"/>
  <c r="C76" i="55"/>
  <c r="C306" i="55"/>
  <c r="C53" i="55"/>
  <c r="I4" i="32"/>
  <c r="K4" i="43"/>
  <c r="E4" i="37"/>
  <c r="C207" i="55"/>
  <c r="A4" i="43"/>
  <c r="C13" i="23"/>
  <c r="I5" i="25"/>
  <c r="E9" i="56"/>
  <c r="E42" i="56"/>
  <c r="E4" i="25"/>
  <c r="M4" i="31"/>
  <c r="C334" i="55"/>
  <c r="A5" i="17"/>
  <c r="C238" i="55"/>
  <c r="E56" i="56"/>
  <c r="C7" i="55"/>
  <c r="C93" i="55"/>
  <c r="A7" i="26"/>
  <c r="G4" i="39"/>
  <c r="A10" i="37"/>
  <c r="C25" i="11"/>
  <c r="C5" i="42"/>
  <c r="C13" i="17"/>
  <c r="E52" i="56"/>
  <c r="G4" i="41"/>
  <c r="C44" i="55"/>
  <c r="G11" i="9"/>
  <c r="G5" i="34"/>
  <c r="C150" i="55"/>
  <c r="C5" i="52"/>
  <c r="A4" i="42"/>
  <c r="C153" i="55"/>
  <c r="A1" i="25"/>
  <c r="C17" i="18"/>
  <c r="A1" i="37"/>
  <c r="K35" i="43"/>
  <c r="G11" i="38"/>
  <c r="K7" i="22"/>
  <c r="C264" i="55"/>
  <c r="C270" i="55"/>
  <c r="A11" i="31"/>
  <c r="A13" i="37"/>
  <c r="C228" i="55"/>
  <c r="C160" i="55"/>
  <c r="C8" i="17"/>
  <c r="E20" i="56"/>
  <c r="G4" i="33"/>
  <c r="E16" i="20"/>
  <c r="I5" i="36"/>
  <c r="A6" i="17"/>
  <c r="E4" i="31"/>
  <c r="C164" i="55"/>
  <c r="C26" i="55"/>
  <c r="C269" i="55"/>
  <c r="E5" i="42"/>
  <c r="B51" i="13"/>
  <c r="C191" i="55"/>
  <c r="E25" i="56"/>
  <c r="C320" i="55"/>
  <c r="E39" i="56"/>
  <c r="A7" i="25"/>
  <c r="A1" i="16"/>
  <c r="C326" i="55"/>
  <c r="C5" i="20"/>
  <c r="M15" i="9"/>
  <c r="C5" i="55"/>
  <c r="C276" i="55"/>
  <c r="A1" i="31"/>
  <c r="W5" i="38"/>
  <c r="A1" i="21"/>
  <c r="C293" i="55"/>
  <c r="A6" i="21"/>
  <c r="C185" i="55"/>
  <c r="E13" i="56"/>
  <c r="C217" i="51"/>
  <c r="C190" i="51"/>
  <c r="D161" i="51"/>
  <c r="D143" i="51"/>
  <c r="C131" i="51"/>
  <c r="C125" i="51"/>
  <c r="E119" i="51"/>
  <c r="C113" i="51"/>
  <c r="E107" i="51"/>
  <c r="C101" i="51"/>
  <c r="E95" i="51"/>
  <c r="C89" i="51"/>
  <c r="E83" i="51"/>
  <c r="C77" i="51"/>
  <c r="E70" i="51"/>
  <c r="G63" i="51"/>
  <c r="C59" i="51"/>
  <c r="C54" i="51"/>
  <c r="G48" i="51"/>
  <c r="C44" i="51"/>
  <c r="C34" i="51"/>
  <c r="G27" i="51"/>
  <c r="C23" i="51"/>
  <c r="D19" i="51"/>
  <c r="E9" i="51"/>
  <c r="C486" i="55"/>
  <c r="G15" i="9"/>
  <c r="C63" i="43"/>
  <c r="I66" i="34"/>
  <c r="G62" i="34"/>
  <c r="C419" i="55"/>
  <c r="G54" i="43"/>
  <c r="A67" i="43"/>
  <c r="C448" i="55"/>
  <c r="C442" i="55"/>
  <c r="C45" i="32"/>
  <c r="G86" i="34"/>
  <c r="I46" i="34"/>
  <c r="G72" i="9"/>
  <c r="C59" i="43"/>
  <c r="C425" i="55"/>
  <c r="M68" i="9"/>
  <c r="A50" i="34"/>
  <c r="A33" i="32"/>
  <c r="C399" i="55"/>
  <c r="A4" i="18"/>
  <c r="C367" i="55"/>
  <c r="C365" i="55"/>
  <c r="C361" i="55"/>
  <c r="C317" i="55"/>
  <c r="G27" i="38"/>
  <c r="C15" i="9"/>
  <c r="C268" i="55"/>
  <c r="C17" i="11"/>
  <c r="I8" i="38"/>
  <c r="C82" i="55"/>
  <c r="A4" i="53"/>
  <c r="G5" i="43"/>
  <c r="C16" i="11"/>
  <c r="M4" i="34"/>
  <c r="C115" i="55"/>
  <c r="C3" i="52"/>
  <c r="A4" i="38"/>
  <c r="C314" i="55"/>
  <c r="C181" i="55"/>
  <c r="A9" i="38"/>
  <c r="A1" i="32"/>
  <c r="A1" i="44"/>
  <c r="I6" i="38"/>
  <c r="C308" i="55"/>
  <c r="C43" i="55"/>
  <c r="U5" i="9"/>
  <c r="E5" i="32"/>
  <c r="C279" i="55"/>
  <c r="M9" i="9"/>
  <c r="C92" i="55"/>
  <c r="G12" i="34"/>
  <c r="A6" i="34"/>
  <c r="C21" i="55"/>
  <c r="C9" i="23"/>
  <c r="C72" i="55"/>
  <c r="C159" i="55"/>
  <c r="A11" i="38"/>
  <c r="A4" i="37"/>
  <c r="C7" i="44"/>
  <c r="C106" i="55"/>
  <c r="O35" i="38"/>
  <c r="A9" i="26"/>
  <c r="C64" i="55"/>
  <c r="C5" i="21"/>
  <c r="I5" i="35"/>
  <c r="G4" i="37"/>
  <c r="C10" i="30"/>
  <c r="C59" i="55"/>
  <c r="Q4" i="9"/>
  <c r="A10" i="18"/>
  <c r="C7" i="23"/>
  <c r="K4" i="42"/>
  <c r="E7" i="34"/>
  <c r="E7" i="56"/>
  <c r="C347" i="55"/>
  <c r="G6" i="34"/>
  <c r="A5" i="21"/>
  <c r="C12" i="17"/>
  <c r="C182" i="55"/>
  <c r="E28" i="56"/>
  <c r="C131" i="55"/>
  <c r="A1" i="54"/>
  <c r="E57" i="56"/>
  <c r="C11" i="35"/>
  <c r="C290" i="55"/>
  <c r="C342" i="55"/>
  <c r="A12" i="37"/>
  <c r="C39" i="55"/>
  <c r="C12" i="23"/>
  <c r="A19" i="26"/>
  <c r="E7" i="35"/>
  <c r="C176" i="55"/>
  <c r="E6" i="31"/>
  <c r="M4" i="9"/>
  <c r="G15" i="22"/>
  <c r="C261" i="55"/>
  <c r="G206" i="51"/>
  <c r="D173" i="51"/>
  <c r="E167" i="51"/>
  <c r="C161" i="51"/>
  <c r="C155" i="51"/>
  <c r="D148" i="51"/>
  <c r="D136" i="51"/>
  <c r="G58" i="51"/>
  <c r="G22" i="51"/>
  <c r="E13" i="51"/>
  <c r="C9" i="51"/>
  <c r="D4" i="51"/>
  <c r="C485" i="55"/>
  <c r="C471" i="55"/>
  <c r="G51" i="9"/>
  <c r="M56" i="9"/>
  <c r="G76" i="9"/>
  <c r="E78" i="34"/>
  <c r="A60" i="9"/>
  <c r="G68" i="9"/>
  <c r="C456" i="55"/>
  <c r="A80" i="9"/>
  <c r="I80" i="9"/>
  <c r="C76" i="9"/>
  <c r="C458" i="55"/>
  <c r="G45" i="43"/>
  <c r="M58" i="34"/>
  <c r="K67" i="43"/>
  <c r="G82" i="34"/>
  <c r="A59" i="43"/>
  <c r="C386" i="55"/>
  <c r="C4" i="23"/>
  <c r="C409" i="55"/>
  <c r="C385" i="55"/>
  <c r="C357" i="55"/>
  <c r="C359" i="55"/>
  <c r="A39" i="43"/>
  <c r="A1" i="38"/>
  <c r="A12" i="31"/>
  <c r="E11" i="56"/>
  <c r="I15" i="22"/>
  <c r="C161" i="55"/>
  <c r="I4" i="31"/>
  <c r="A9" i="34"/>
  <c r="U4" i="34"/>
  <c r="A13" i="26"/>
  <c r="C345" i="55"/>
  <c r="C292" i="55"/>
  <c r="W5" i="34"/>
  <c r="C221" i="55"/>
  <c r="E4" i="38"/>
  <c r="C11" i="17"/>
  <c r="M4" i="42"/>
  <c r="C118" i="55"/>
  <c r="C10" i="31"/>
  <c r="C96" i="55"/>
  <c r="E60" i="56"/>
  <c r="A1" i="29"/>
  <c r="C29" i="55"/>
  <c r="G17" i="22"/>
  <c r="E4" i="32"/>
  <c r="C244" i="55"/>
  <c r="E6" i="27"/>
  <c r="O5" i="21"/>
  <c r="C8" i="42"/>
  <c r="A1" i="50"/>
  <c r="C5" i="32"/>
  <c r="C24" i="11"/>
  <c r="E6" i="17"/>
  <c r="C281" i="55"/>
  <c r="C282" i="55"/>
  <c r="C9" i="35"/>
  <c r="C53" i="11"/>
  <c r="C217" i="55"/>
  <c r="G4" i="18"/>
  <c r="C193" i="55"/>
  <c r="S4" i="38"/>
  <c r="E6" i="42"/>
  <c r="C212" i="55"/>
  <c r="A1" i="18"/>
  <c r="K4" i="38"/>
  <c r="C26" i="52"/>
  <c r="G15" i="21"/>
  <c r="A7" i="34"/>
  <c r="C37" i="55"/>
  <c r="W4" i="43"/>
  <c r="C15" i="35"/>
  <c r="C192" i="55"/>
  <c r="A6" i="30"/>
  <c r="E9" i="22"/>
  <c r="C50" i="55"/>
  <c r="K4" i="32"/>
  <c r="C12" i="31"/>
  <c r="A1" i="56"/>
  <c r="C84" i="55"/>
  <c r="A22" i="21"/>
  <c r="G5" i="31"/>
  <c r="C331" i="55"/>
  <c r="C8" i="55"/>
  <c r="C99" i="55"/>
  <c r="I5" i="38"/>
  <c r="G28" i="38"/>
  <c r="C224" i="55"/>
  <c r="A5" i="44"/>
  <c r="C294" i="55"/>
  <c r="C335" i="55"/>
  <c r="A4" i="33"/>
  <c r="C258" i="55"/>
  <c r="A7" i="9"/>
  <c r="C103" i="55"/>
  <c r="C11" i="52"/>
  <c r="G5" i="38"/>
  <c r="C88" i="55"/>
  <c r="E59" i="56"/>
  <c r="A16" i="26"/>
  <c r="C251" i="55"/>
  <c r="C239" i="55"/>
  <c r="C253" i="55"/>
  <c r="I11" i="43"/>
  <c r="A8" i="37"/>
  <c r="C266" i="55"/>
  <c r="C6" i="23"/>
  <c r="D197" i="51"/>
  <c r="E180" i="51"/>
  <c r="C148" i="51"/>
  <c r="E142" i="51"/>
  <c r="C136" i="51"/>
  <c r="C130" i="51"/>
  <c r="D124" i="51"/>
  <c r="C118" i="51"/>
  <c r="D112" i="51"/>
  <c r="C106" i="51"/>
  <c r="D100" i="51"/>
  <c r="C94" i="51"/>
  <c r="D88" i="51"/>
  <c r="C82" i="51"/>
  <c r="D76" i="51"/>
  <c r="D63" i="51"/>
  <c r="D53" i="51"/>
  <c r="E48" i="51"/>
  <c r="E37" i="51"/>
  <c r="D27" i="51"/>
  <c r="D13" i="51"/>
  <c r="G3" i="51"/>
  <c r="I43" i="20"/>
  <c r="C468" i="55"/>
  <c r="E82" i="34"/>
  <c r="G80" i="9"/>
  <c r="E45" i="43"/>
  <c r="E63" i="43"/>
  <c r="C428" i="55"/>
  <c r="K56" i="9"/>
  <c r="M72" i="9"/>
  <c r="E54" i="34"/>
  <c r="M17" i="9"/>
  <c r="C437" i="55"/>
  <c r="C432" i="55"/>
  <c r="I50" i="43"/>
  <c r="C450" i="55"/>
  <c r="C439" i="55"/>
  <c r="A58" i="34"/>
  <c r="E66" i="34"/>
  <c r="C461" i="55"/>
  <c r="A32" i="32"/>
  <c r="C406" i="55"/>
  <c r="C384" i="55"/>
  <c r="C407" i="55"/>
  <c r="A42" i="38"/>
  <c r="C366" i="55"/>
  <c r="C355" i="55"/>
  <c r="I6" i="22"/>
  <c r="D16" i="50"/>
  <c r="C220" i="55"/>
  <c r="C13" i="31"/>
  <c r="K4" i="30"/>
  <c r="C12" i="55"/>
  <c r="C121" i="55"/>
  <c r="C138" i="55"/>
  <c r="A10" i="38"/>
  <c r="C7" i="17"/>
  <c r="M5" i="22"/>
  <c r="C323" i="55"/>
  <c r="C30" i="52"/>
  <c r="C28" i="55"/>
  <c r="D214" i="51"/>
  <c r="C187" i="51"/>
  <c r="E179" i="51"/>
  <c r="G165" i="51"/>
  <c r="D153" i="51"/>
  <c r="D147" i="51"/>
  <c r="C141" i="51"/>
  <c r="D135" i="51"/>
  <c r="G122" i="51"/>
  <c r="G110" i="51"/>
  <c r="G98" i="51"/>
  <c r="G86" i="51"/>
  <c r="C68" i="51"/>
  <c r="C58" i="51"/>
  <c r="G51" i="51"/>
  <c r="C47" i="51"/>
  <c r="C42" i="51"/>
  <c r="G36" i="51"/>
  <c r="C32" i="51"/>
  <c r="C22" i="51"/>
  <c r="C17" i="51"/>
  <c r="C12" i="51"/>
  <c r="G2" i="51"/>
  <c r="G39" i="20"/>
  <c r="C21" i="11"/>
  <c r="M50" i="34"/>
  <c r="C451" i="55"/>
  <c r="M16" i="38"/>
  <c r="K62" i="34"/>
  <c r="C422" i="55"/>
  <c r="C28" i="42"/>
  <c r="M70" i="34"/>
  <c r="G66" i="34"/>
  <c r="G50" i="34"/>
  <c r="I70" i="34"/>
  <c r="E80" i="9"/>
  <c r="K50" i="34"/>
  <c r="G56" i="9"/>
  <c r="G58" i="34"/>
  <c r="C429" i="55"/>
  <c r="E72" i="9"/>
  <c r="A51" i="9"/>
  <c r="C397" i="55"/>
  <c r="E4" i="22"/>
  <c r="C403" i="55"/>
  <c r="C393" i="55"/>
  <c r="C358" i="55"/>
  <c r="C376" i="55"/>
  <c r="C353" i="55"/>
  <c r="C14" i="52"/>
  <c r="I7" i="21"/>
  <c r="A14" i="26"/>
  <c r="C40" i="55"/>
  <c r="C316" i="55"/>
  <c r="C104" i="55"/>
  <c r="C215" i="55"/>
  <c r="E5" i="31"/>
  <c r="C225" i="55"/>
  <c r="G14" i="22"/>
  <c r="O31" i="38"/>
  <c r="C18" i="52"/>
  <c r="C152" i="55"/>
  <c r="A14" i="39"/>
  <c r="C23" i="11"/>
  <c r="E5" i="29"/>
  <c r="I7" i="25"/>
  <c r="C94" i="55"/>
  <c r="C309" i="55"/>
  <c r="C287" i="55"/>
  <c r="C216" i="55"/>
  <c r="C66" i="55"/>
  <c r="I10" i="38"/>
  <c r="O28" i="34"/>
  <c r="C11" i="31"/>
  <c r="C114" i="55"/>
  <c r="C213" i="55"/>
  <c r="C4" i="42"/>
  <c r="C14" i="23"/>
  <c r="C167" i="55"/>
  <c r="C237" i="55"/>
  <c r="C13" i="52"/>
  <c r="C42" i="55"/>
  <c r="Q4" i="34"/>
  <c r="C6" i="11"/>
  <c r="A7" i="31"/>
  <c r="C129" i="55"/>
  <c r="E26" i="56"/>
  <c r="E6" i="30"/>
  <c r="C7" i="33"/>
  <c r="C16" i="18"/>
  <c r="E6" i="22"/>
  <c r="C154" i="55"/>
  <c r="C80" i="55"/>
  <c r="C236" i="55"/>
  <c r="C341" i="55"/>
  <c r="I7" i="34"/>
  <c r="C187" i="55"/>
  <c r="C107" i="55"/>
  <c r="A11" i="9"/>
  <c r="C158" i="55"/>
  <c r="G4" i="25"/>
  <c r="C48" i="11"/>
  <c r="A6" i="22"/>
  <c r="C288" i="55"/>
  <c r="C14" i="17"/>
  <c r="K26" i="31"/>
  <c r="E4" i="26"/>
  <c r="G13" i="22"/>
  <c r="E5" i="25"/>
  <c r="C146" i="55"/>
  <c r="C7" i="52"/>
  <c r="A4" i="23"/>
  <c r="D8" i="50"/>
  <c r="M15" i="34"/>
  <c r="A5" i="30"/>
  <c r="A5" i="35"/>
  <c r="C302" i="55"/>
  <c r="A7" i="30"/>
  <c r="E29" i="56"/>
  <c r="C151" i="55"/>
  <c r="G16" i="22"/>
  <c r="A7" i="21"/>
  <c r="E204" i="51"/>
  <c r="G194" i="51"/>
  <c r="G170" i="51"/>
  <c r="G158" i="51"/>
  <c r="C153" i="51"/>
  <c r="G140" i="51"/>
  <c r="D128" i="51"/>
  <c r="C117" i="51"/>
  <c r="C105" i="51"/>
  <c r="C93" i="51"/>
  <c r="C81" i="51"/>
  <c r="E74" i="51"/>
  <c r="G46" i="51"/>
  <c r="G21" i="51"/>
  <c r="G11" i="51"/>
  <c r="D7" i="51"/>
  <c r="C481" i="55"/>
  <c r="C478" i="55"/>
  <c r="I58" i="34"/>
  <c r="M46" i="34"/>
  <c r="C452" i="55"/>
  <c r="C424" i="55"/>
  <c r="K74" i="34"/>
  <c r="A45" i="32"/>
  <c r="A28" i="42"/>
  <c r="C415" i="55"/>
  <c r="E86" i="34"/>
  <c r="A43" i="9"/>
  <c r="M54" i="34"/>
  <c r="C446" i="55"/>
  <c r="K46" i="34"/>
  <c r="A63" i="43"/>
  <c r="I68" i="9"/>
  <c r="A42" i="44"/>
  <c r="I62" i="34"/>
  <c r="A4" i="31"/>
  <c r="C388" i="55"/>
  <c r="C395" i="55"/>
  <c r="C54" i="11"/>
  <c r="C362" i="55"/>
  <c r="A20" i="30"/>
  <c r="C145" i="55"/>
  <c r="W5" i="43"/>
  <c r="A16" i="9"/>
  <c r="A12" i="30"/>
  <c r="A14" i="31"/>
  <c r="C70" i="55"/>
  <c r="A11" i="37"/>
  <c r="C267" i="55"/>
  <c r="C25" i="52"/>
  <c r="C175" i="55"/>
  <c r="A12" i="9"/>
  <c r="C15" i="23"/>
  <c r="C348" i="55"/>
  <c r="C184" i="55"/>
  <c r="C327" i="55"/>
  <c r="C49" i="55"/>
  <c r="I14" i="22"/>
  <c r="C235" i="55"/>
  <c r="A5" i="42"/>
  <c r="E40" i="56"/>
  <c r="E55" i="56"/>
  <c r="C29" i="52"/>
  <c r="C278" i="55"/>
  <c r="C240" i="55"/>
  <c r="G4" i="20"/>
  <c r="E9" i="38"/>
  <c r="E6" i="43"/>
  <c r="C139" i="55"/>
  <c r="K5" i="41"/>
  <c r="U4" i="38"/>
  <c r="C11" i="55"/>
  <c r="C172" i="55"/>
  <c r="I5" i="34"/>
  <c r="C214" i="55"/>
  <c r="C299" i="55"/>
  <c r="C162" i="55"/>
  <c r="C183" i="55"/>
  <c r="E14" i="56"/>
  <c r="I12" i="38"/>
  <c r="K29" i="43"/>
  <c r="E6" i="35"/>
  <c r="C97" i="55"/>
  <c r="E17" i="56"/>
  <c r="C4" i="20"/>
  <c r="C30" i="55"/>
  <c r="E5" i="38"/>
  <c r="G4" i="31"/>
  <c r="O31" i="34"/>
  <c r="C171" i="55"/>
  <c r="A11" i="18"/>
  <c r="C130" i="55"/>
  <c r="C12" i="11"/>
  <c r="A9" i="30"/>
  <c r="C315" i="55"/>
  <c r="C20" i="52"/>
  <c r="G11" i="34"/>
  <c r="C57" i="55"/>
  <c r="S4" i="9"/>
  <c r="O28" i="38"/>
  <c r="M4" i="38"/>
  <c r="A4" i="17"/>
  <c r="C47" i="55"/>
  <c r="C19" i="55"/>
  <c r="C8" i="52"/>
  <c r="C98" i="55"/>
  <c r="E7" i="9"/>
  <c r="C108" i="55"/>
  <c r="A4" i="21"/>
  <c r="A9" i="31"/>
  <c r="C8" i="23"/>
  <c r="C174" i="55"/>
  <c r="C12" i="52"/>
  <c r="C5" i="11"/>
  <c r="C201" i="55"/>
  <c r="E4" i="36"/>
  <c r="C178" i="51"/>
  <c r="C165" i="51"/>
  <c r="G145" i="51"/>
  <c r="G133" i="51"/>
  <c r="C128" i="51"/>
  <c r="G121" i="51"/>
  <c r="G109" i="51"/>
  <c r="G97" i="51"/>
  <c r="G85" i="51"/>
  <c r="E61" i="51"/>
  <c r="D51" i="51"/>
  <c r="D41" i="51"/>
  <c r="E36" i="51"/>
  <c r="E25" i="51"/>
  <c r="E16" i="51"/>
  <c r="C7" i="51"/>
  <c r="E2" i="51"/>
  <c r="C473" i="55"/>
  <c r="K76" i="9"/>
  <c r="G54" i="34"/>
  <c r="C441" i="55"/>
  <c r="C454" i="55"/>
  <c r="C414" i="55"/>
  <c r="C423" i="55"/>
  <c r="E19" i="42"/>
  <c r="C464" i="55"/>
  <c r="C45" i="43"/>
  <c r="C459" i="55"/>
  <c r="K51" i="9"/>
  <c r="C421" i="55"/>
  <c r="I67" i="43"/>
  <c r="M80" i="9"/>
  <c r="E74" i="34"/>
  <c r="G46" i="34"/>
  <c r="A46" i="9"/>
  <c r="C391" i="55"/>
  <c r="C405" i="55"/>
  <c r="C389" i="55"/>
  <c r="C381" i="55"/>
  <c r="C374" i="55"/>
  <c r="C372" i="55"/>
  <c r="C371" i="55"/>
  <c r="C1" i="52"/>
  <c r="C51" i="55"/>
  <c r="A5" i="32"/>
  <c r="C241" i="55"/>
  <c r="G12" i="38"/>
  <c r="A24" i="35"/>
  <c r="C298" i="55"/>
  <c r="M10" i="38"/>
  <c r="A1" i="17"/>
  <c r="A8" i="25"/>
  <c r="E5" i="9"/>
  <c r="A4" i="22"/>
  <c r="M11" i="38"/>
  <c r="A11" i="25"/>
  <c r="C61" i="55"/>
  <c r="C11" i="38"/>
  <c r="B1" i="13"/>
  <c r="M7" i="38"/>
  <c r="A14" i="18"/>
  <c r="C232" i="55"/>
  <c r="C22" i="11"/>
  <c r="I5" i="31"/>
  <c r="C16" i="55"/>
  <c r="C197" i="55"/>
  <c r="C254" i="55"/>
  <c r="Q4" i="38"/>
  <c r="A8" i="9"/>
  <c r="C62" i="55"/>
  <c r="C34" i="55"/>
  <c r="C204" i="55"/>
  <c r="C120" i="55"/>
  <c r="C33" i="55"/>
  <c r="C5" i="22"/>
  <c r="C13" i="35"/>
  <c r="C33" i="52"/>
  <c r="E9" i="34"/>
  <c r="C26" i="11"/>
  <c r="G26" i="34"/>
  <c r="C10" i="17"/>
  <c r="E7" i="22"/>
  <c r="C222" i="55"/>
  <c r="C265" i="55"/>
  <c r="K4" i="36"/>
  <c r="E8" i="35"/>
  <c r="C190" i="55"/>
  <c r="O29" i="34"/>
  <c r="C45" i="55"/>
  <c r="C4" i="29"/>
  <c r="A5" i="25"/>
  <c r="I4" i="41"/>
  <c r="C295" i="55"/>
  <c r="A6" i="32"/>
  <c r="C177" i="55"/>
  <c r="C291" i="55"/>
  <c r="C16" i="9"/>
  <c r="C7" i="11"/>
  <c r="A16" i="31"/>
  <c r="C6" i="43"/>
  <c r="C65" i="55"/>
  <c r="E16" i="56"/>
  <c r="Q5" i="31"/>
  <c r="A5" i="38"/>
  <c r="I13" i="34"/>
  <c r="G4" i="35"/>
  <c r="A5" i="20"/>
  <c r="E4" i="29"/>
  <c r="G12" i="9"/>
  <c r="A16" i="18"/>
  <c r="C9" i="52"/>
  <c r="C55" i="55"/>
  <c r="A8" i="17"/>
  <c r="M16" i="34"/>
  <c r="C168" i="55"/>
  <c r="C249" i="55"/>
  <c r="I14" i="43"/>
  <c r="C39" i="11"/>
  <c r="C111" i="55"/>
  <c r="E33" i="56"/>
  <c r="E53" i="56"/>
  <c r="Q4" i="22"/>
  <c r="C7" i="36"/>
  <c r="C50" i="11"/>
  <c r="C20" i="55"/>
  <c r="M15" i="38"/>
  <c r="G169" i="51"/>
  <c r="G157" i="51"/>
  <c r="C152" i="51"/>
  <c r="C140" i="51"/>
  <c r="E73" i="51"/>
  <c r="D66" i="51"/>
  <c r="D61" i="51"/>
  <c r="E56" i="51"/>
  <c r="G50" i="51"/>
  <c r="E46" i="51"/>
  <c r="D30" i="51"/>
  <c r="D25" i="51"/>
  <c r="D16" i="51"/>
  <c r="E11" i="51"/>
  <c r="D2" i="51"/>
  <c r="O78" i="34"/>
  <c r="I72" i="9"/>
  <c r="I82" i="34"/>
  <c r="A26" i="36"/>
  <c r="E50" i="34"/>
  <c r="I86" i="34"/>
  <c r="K64" i="9"/>
  <c r="G64" i="9"/>
  <c r="I84" i="9"/>
  <c r="C418" i="55"/>
  <c r="A56" i="9"/>
  <c r="A45" i="9"/>
  <c r="E41" i="32"/>
  <c r="A54" i="43"/>
  <c r="A33" i="44"/>
  <c r="K86" i="34"/>
  <c r="C438" i="55"/>
  <c r="C4" i="35"/>
  <c r="C411" i="55"/>
  <c r="C398" i="55"/>
  <c r="C382" i="55"/>
  <c r="C364" i="55"/>
  <c r="C378" i="55"/>
  <c r="C373" i="55"/>
  <c r="E11" i="22"/>
  <c r="O4" i="42"/>
  <c r="K4" i="41"/>
  <c r="C109" i="55"/>
  <c r="O4" i="21"/>
  <c r="C79" i="55"/>
  <c r="G4" i="17"/>
  <c r="C179" i="55"/>
  <c r="C19" i="52"/>
  <c r="C4" i="21"/>
  <c r="A11" i="34"/>
  <c r="G10" i="38"/>
  <c r="C100" i="55"/>
  <c r="C17" i="55"/>
  <c r="C202" i="55"/>
  <c r="C13" i="30"/>
  <c r="A13" i="30"/>
  <c r="A4" i="26"/>
  <c r="A1" i="26"/>
  <c r="S4" i="43"/>
  <c r="A4" i="39"/>
  <c r="C36" i="11"/>
  <c r="C46" i="55"/>
  <c r="C90" i="55"/>
  <c r="C18" i="11"/>
  <c r="E61" i="56"/>
  <c r="A4" i="20"/>
  <c r="A16" i="30"/>
  <c r="G4" i="43"/>
  <c r="C350" i="55"/>
  <c r="I4" i="37"/>
  <c r="D7" i="50"/>
  <c r="C60" i="55"/>
  <c r="C180" i="55"/>
  <c r="C346" i="55"/>
  <c r="A10" i="9"/>
  <c r="O4" i="34"/>
  <c r="C252" i="55"/>
  <c r="Q4" i="43"/>
  <c r="C149" i="55"/>
  <c r="G8" i="9"/>
  <c r="A6" i="37"/>
  <c r="I14" i="34"/>
  <c r="G7" i="42"/>
  <c r="A15" i="18"/>
  <c r="I11" i="22"/>
  <c r="E5" i="35"/>
  <c r="I5" i="39"/>
  <c r="C16" i="35"/>
  <c r="C5" i="35"/>
  <c r="C87" i="55"/>
  <c r="G4" i="27"/>
  <c r="C208" i="55"/>
  <c r="C38" i="55"/>
  <c r="A1" i="53"/>
  <c r="C4" i="53"/>
  <c r="A10" i="34"/>
  <c r="E4" i="53"/>
  <c r="C95" i="55"/>
  <c r="O29" i="38"/>
  <c r="C5" i="23"/>
  <c r="C16" i="52"/>
  <c r="C4" i="27"/>
  <c r="M5" i="20"/>
  <c r="A6" i="31"/>
  <c r="D13" i="50"/>
  <c r="E32" i="56"/>
  <c r="W4" i="34"/>
  <c r="C6" i="55"/>
  <c r="G6" i="9"/>
  <c r="D160" i="51"/>
  <c r="C127" i="51"/>
  <c r="G105" i="51"/>
  <c r="C46" i="51"/>
  <c r="D37" i="51"/>
  <c r="E20" i="51"/>
  <c r="I39" i="20"/>
  <c r="C462" i="55"/>
  <c r="M51" i="9"/>
  <c r="K66" i="34"/>
  <c r="A4" i="30"/>
  <c r="C360" i="55"/>
  <c r="C336" i="55"/>
  <c r="E18" i="56"/>
  <c r="C20" i="11"/>
  <c r="E15" i="20"/>
  <c r="M8" i="34"/>
  <c r="E50" i="56"/>
  <c r="C263" i="55"/>
  <c r="C33" i="11"/>
  <c r="Q5" i="22"/>
  <c r="E4" i="44"/>
  <c r="D15" i="50"/>
  <c r="C32" i="52"/>
  <c r="C22" i="52"/>
  <c r="C202" i="51"/>
  <c r="C56" i="51"/>
  <c r="C434" i="55"/>
  <c r="G70" i="34"/>
  <c r="C467" i="55"/>
  <c r="C404" i="55"/>
  <c r="C379" i="55"/>
  <c r="I4" i="43"/>
  <c r="C283" i="55"/>
  <c r="C91" i="55"/>
  <c r="A10" i="25"/>
  <c r="E12" i="56"/>
  <c r="E6" i="9"/>
  <c r="C343" i="55"/>
  <c r="I4" i="18"/>
  <c r="E24" i="56"/>
  <c r="C35" i="11"/>
  <c r="E115" i="51"/>
  <c r="G93" i="51"/>
  <c r="G26" i="51"/>
  <c r="C56" i="9"/>
  <c r="E68" i="9"/>
  <c r="A54" i="34"/>
  <c r="C383" i="55"/>
  <c r="C356" i="55"/>
  <c r="O4" i="43"/>
  <c r="I4" i="39"/>
  <c r="O35" i="34"/>
  <c r="I5" i="42"/>
  <c r="C211" i="55"/>
  <c r="A5" i="33"/>
  <c r="E5" i="22"/>
  <c r="C5" i="17"/>
  <c r="C28" i="11"/>
  <c r="I11" i="38"/>
  <c r="C233" i="55"/>
  <c r="A11" i="27"/>
  <c r="A4" i="25"/>
  <c r="C206" i="55"/>
  <c r="E35" i="56"/>
  <c r="C135" i="55"/>
  <c r="A7" i="22"/>
  <c r="M5" i="36"/>
  <c r="C304" i="55"/>
  <c r="O32" i="38"/>
  <c r="C63" i="55"/>
  <c r="I6" i="37"/>
  <c r="C13" i="11"/>
  <c r="E17" i="20"/>
  <c r="E5" i="34"/>
  <c r="M11" i="34"/>
  <c r="G17" i="21"/>
  <c r="C11" i="25"/>
  <c r="I8" i="43"/>
  <c r="M4" i="21"/>
  <c r="A5" i="36"/>
  <c r="C339" i="55"/>
  <c r="C255" i="55"/>
  <c r="C245" i="55"/>
  <c r="C325" i="55"/>
  <c r="C52" i="11"/>
  <c r="C148" i="55"/>
  <c r="C349" i="55"/>
  <c r="A11" i="30"/>
  <c r="A8" i="31"/>
  <c r="G14" i="21"/>
  <c r="I10" i="34"/>
  <c r="A13" i="18"/>
  <c r="A5" i="43"/>
  <c r="C301" i="55"/>
  <c r="A15" i="9"/>
  <c r="M4" i="20"/>
  <c r="A4" i="36"/>
  <c r="C157" i="55"/>
  <c r="C15" i="52"/>
  <c r="C15" i="18"/>
  <c r="A6" i="9"/>
  <c r="C32" i="55"/>
  <c r="C6" i="17"/>
  <c r="C318" i="55"/>
  <c r="G62" i="51"/>
  <c r="C35" i="51"/>
  <c r="E8" i="51"/>
  <c r="C449" i="55"/>
  <c r="A82" i="34"/>
  <c r="C426" i="55"/>
  <c r="C394" i="55"/>
  <c r="C375" i="55"/>
  <c r="E15" i="56"/>
  <c r="E12" i="22"/>
  <c r="C10" i="11"/>
  <c r="C328" i="55"/>
  <c r="C110" i="55"/>
  <c r="C285" i="55"/>
  <c r="I7" i="38"/>
  <c r="C286" i="55"/>
  <c r="A4" i="44"/>
  <c r="C86" i="55"/>
  <c r="C338" i="55"/>
  <c r="A1" i="42"/>
  <c r="A7" i="18"/>
  <c r="A5" i="34"/>
  <c r="O4" i="22"/>
  <c r="E31" i="56"/>
  <c r="A6" i="25"/>
  <c r="C31" i="52"/>
  <c r="C243" i="55"/>
  <c r="A13" i="25"/>
  <c r="C312" i="55"/>
  <c r="A5" i="37"/>
  <c r="C169" i="55"/>
  <c r="C127" i="55"/>
  <c r="C117" i="55"/>
  <c r="C128" i="55"/>
  <c r="I13" i="22"/>
  <c r="C125" i="55"/>
  <c r="C321" i="55"/>
  <c r="C5" i="27"/>
  <c r="C242" i="55"/>
  <c r="C177" i="51"/>
  <c r="G144" i="51"/>
  <c r="E103" i="51"/>
  <c r="G81" i="51"/>
  <c r="E17" i="51"/>
  <c r="C469" i="55"/>
  <c r="G59" i="43"/>
  <c r="E45" i="32"/>
  <c r="C433" i="55"/>
  <c r="C410" i="55"/>
  <c r="C123" i="55"/>
  <c r="E13" i="22"/>
  <c r="C272" i="55"/>
  <c r="C324" i="55"/>
  <c r="C7" i="42"/>
  <c r="A15" i="31"/>
  <c r="C5" i="43"/>
  <c r="C305" i="55"/>
  <c r="E14" i="20"/>
  <c r="E58" i="56"/>
  <c r="C137" i="55"/>
  <c r="C122" i="55"/>
  <c r="A6" i="26"/>
  <c r="C83" i="55"/>
  <c r="C6" i="42"/>
  <c r="E11" i="35"/>
  <c r="C89" i="55"/>
  <c r="I4" i="30"/>
  <c r="I7" i="43"/>
  <c r="C78" i="55"/>
  <c r="C28" i="52"/>
  <c r="C113" i="55"/>
  <c r="A5" i="29"/>
  <c r="E5" i="36"/>
  <c r="C223" i="55"/>
  <c r="C71" i="55"/>
  <c r="C156" i="55"/>
  <c r="C18" i="55"/>
  <c r="C43" i="11"/>
  <c r="C329" i="55"/>
  <c r="K28" i="43"/>
  <c r="C178" i="55"/>
  <c r="C144" i="55"/>
  <c r="K5" i="21"/>
  <c r="S4" i="34"/>
  <c r="C17" i="9"/>
  <c r="I17" i="43"/>
  <c r="C15" i="11"/>
  <c r="O27" i="34"/>
  <c r="C173" i="55"/>
  <c r="C73" i="55"/>
  <c r="I16" i="43"/>
  <c r="E5" i="44"/>
  <c r="C58" i="55"/>
  <c r="C24" i="52"/>
  <c r="E38" i="56"/>
  <c r="Q4" i="31"/>
  <c r="C205" i="55"/>
  <c r="M7" i="34"/>
  <c r="I12" i="43"/>
  <c r="C155" i="55"/>
  <c r="I4" i="9"/>
  <c r="G9" i="9"/>
  <c r="G13" i="21"/>
  <c r="C166" i="51"/>
  <c r="G132" i="51"/>
  <c r="D42" i="51"/>
  <c r="G24" i="51"/>
  <c r="E59" i="43"/>
  <c r="A26" i="44"/>
  <c r="K80" i="9"/>
  <c r="C387" i="55"/>
  <c r="E48" i="56"/>
  <c r="K25" i="31"/>
  <c r="G5" i="9"/>
  <c r="C11" i="34"/>
  <c r="A1" i="36"/>
  <c r="C4" i="43"/>
  <c r="A7" i="17"/>
  <c r="C119" i="55"/>
  <c r="C105" i="55"/>
  <c r="C280" i="55"/>
  <c r="C9" i="42"/>
  <c r="C21" i="52"/>
  <c r="C74" i="55"/>
  <c r="A9" i="17"/>
  <c r="C142" i="55"/>
  <c r="C10" i="23"/>
  <c r="C230" i="55"/>
  <c r="C7" i="35"/>
  <c r="K5" i="9"/>
  <c r="C38" i="11"/>
  <c r="C27" i="11"/>
  <c r="C260" i="55"/>
  <c r="E6" i="38"/>
  <c r="C126" i="55"/>
  <c r="C102" i="55"/>
  <c r="C226" i="55"/>
  <c r="G16" i="21"/>
  <c r="C10" i="52"/>
  <c r="O25" i="9"/>
  <c r="C4" i="52"/>
  <c r="G4" i="9"/>
  <c r="D12" i="50"/>
  <c r="E10" i="56"/>
  <c r="W4" i="38"/>
  <c r="C8" i="35"/>
  <c r="E7" i="31"/>
  <c r="G10" i="34"/>
  <c r="I18" i="43"/>
  <c r="E4" i="9"/>
  <c r="A1" i="33"/>
  <c r="I6" i="34"/>
  <c r="E14" i="22"/>
  <c r="C10" i="44"/>
  <c r="K5" i="32"/>
  <c r="A5" i="31"/>
  <c r="G7" i="9"/>
  <c r="A5" i="18"/>
  <c r="E91" i="51"/>
  <c r="G60" i="51"/>
  <c r="D6" i="51"/>
  <c r="C27" i="44"/>
  <c r="I45" i="43"/>
  <c r="A28" i="17"/>
  <c r="M14" i="9"/>
  <c r="C307" i="55"/>
  <c r="E8" i="22"/>
  <c r="C271" i="55"/>
  <c r="K5" i="38"/>
  <c r="C36" i="55"/>
  <c r="C11" i="11"/>
  <c r="C12" i="30"/>
  <c r="C297" i="55"/>
  <c r="C37" i="11"/>
  <c r="E12" i="35"/>
  <c r="M14" i="38"/>
  <c r="O26" i="9"/>
  <c r="C203" i="55"/>
  <c r="E32" i="51"/>
  <c r="E4" i="39"/>
  <c r="A50" i="43"/>
  <c r="A28" i="36"/>
  <c r="C380" i="55"/>
  <c r="C170" i="55"/>
  <c r="I5" i="22"/>
  <c r="A9" i="18"/>
  <c r="A5" i="22"/>
  <c r="M4" i="43"/>
  <c r="A15" i="30"/>
  <c r="A5" i="41"/>
  <c r="D9" i="50"/>
  <c r="E5" i="27"/>
  <c r="M7" i="9"/>
  <c r="C313" i="55"/>
  <c r="G28" i="34"/>
  <c r="A5" i="39"/>
  <c r="A22" i="25"/>
  <c r="C14" i="11"/>
  <c r="A1" i="9"/>
  <c r="O5" i="42"/>
  <c r="E4" i="30"/>
  <c r="E7" i="27"/>
  <c r="E4" i="23"/>
  <c r="E8" i="56"/>
  <c r="C6" i="35"/>
  <c r="E4" i="34"/>
  <c r="C49" i="11"/>
  <c r="E54" i="56"/>
  <c r="A1" i="20"/>
  <c r="A13" i="9"/>
  <c r="A1" i="43"/>
  <c r="C199" i="55"/>
  <c r="E19" i="56"/>
  <c r="C4" i="32"/>
  <c r="M11" i="9"/>
  <c r="A1" i="41"/>
  <c r="O4" i="38"/>
  <c r="A18" i="26"/>
  <c r="E7" i="30"/>
  <c r="A5" i="23"/>
  <c r="A7" i="38"/>
  <c r="E7" i="36"/>
  <c r="C19" i="11"/>
  <c r="E4" i="42"/>
  <c r="A7" i="37"/>
  <c r="M12" i="34"/>
  <c r="G26" i="38"/>
  <c r="A10" i="31"/>
  <c r="D184" i="51"/>
  <c r="E79" i="51"/>
  <c r="E68" i="51"/>
  <c r="G39" i="51"/>
  <c r="C466" i="55"/>
  <c r="A19" i="42"/>
  <c r="I56" i="9"/>
  <c r="A8" i="18"/>
  <c r="I11" i="34"/>
  <c r="C5" i="44"/>
  <c r="C257" i="55"/>
  <c r="C322" i="55"/>
  <c r="C13" i="18"/>
  <c r="C48" i="55"/>
  <c r="C250" i="55"/>
  <c r="C275" i="55"/>
  <c r="C8" i="44"/>
  <c r="O4" i="9"/>
  <c r="A9" i="9"/>
  <c r="K27" i="43"/>
  <c r="C47" i="11"/>
  <c r="D10" i="50"/>
  <c r="E6" i="34"/>
  <c r="E5" i="17"/>
  <c r="C9" i="11"/>
  <c r="E4" i="18"/>
  <c r="E30" i="56"/>
  <c r="E7" i="38"/>
  <c r="C11" i="30"/>
  <c r="A6" i="18"/>
  <c r="C4" i="22"/>
  <c r="C141" i="55"/>
  <c r="C24" i="55"/>
  <c r="C85" i="55"/>
  <c r="M16" i="9"/>
  <c r="C23" i="55"/>
  <c r="A8" i="34"/>
  <c r="K4" i="31"/>
  <c r="C23" i="52"/>
  <c r="A1" i="35"/>
  <c r="C4" i="44"/>
  <c r="C112" i="55"/>
  <c r="C248" i="55"/>
  <c r="I9" i="22"/>
  <c r="K4" i="20"/>
  <c r="E22" i="51"/>
  <c r="C420" i="55"/>
  <c r="A24" i="17"/>
  <c r="C26" i="44"/>
  <c r="C319" i="55"/>
  <c r="C166" i="55"/>
  <c r="G27" i="34"/>
  <c r="G4" i="30"/>
  <c r="C296" i="55"/>
  <c r="C13" i="55"/>
  <c r="E10" i="22"/>
  <c r="A1" i="57"/>
  <c r="M14" i="34"/>
  <c r="C227" i="55"/>
  <c r="C22" i="55"/>
  <c r="C9" i="55"/>
  <c r="C4" i="26"/>
  <c r="K30" i="43"/>
  <c r="A14" i="30"/>
  <c r="E8" i="34"/>
  <c r="C124" i="55"/>
  <c r="E22" i="56"/>
  <c r="A12" i="25"/>
  <c r="C14" i="35"/>
  <c r="C262" i="55"/>
  <c r="A4" i="41"/>
  <c r="A5" i="9"/>
  <c r="E23" i="56"/>
  <c r="C15" i="55"/>
  <c r="E5" i="43"/>
  <c r="C274" i="55"/>
  <c r="C284" i="55"/>
  <c r="G7" i="36"/>
  <c r="E6" i="36"/>
  <c r="E4" i="17"/>
  <c r="C311" i="55"/>
  <c r="C247" i="55"/>
  <c r="C6" i="44"/>
  <c r="C196" i="55"/>
  <c r="G4" i="32"/>
  <c r="C495" i="55"/>
  <c r="A4" i="9"/>
  <c r="A14" i="9"/>
  <c r="E4" i="27"/>
  <c r="A8" i="26"/>
  <c r="C332" i="55"/>
  <c r="K31" i="43"/>
  <c r="C5" i="36"/>
  <c r="C219" i="55"/>
  <c r="I12" i="34"/>
  <c r="A4" i="29"/>
  <c r="C277" i="55"/>
  <c r="K32" i="43"/>
  <c r="C11" i="23"/>
  <c r="G13" i="9"/>
  <c r="C15" i="17"/>
  <c r="E43" i="56"/>
  <c r="C246" i="55"/>
  <c r="C5" i="41"/>
  <c r="C333" i="55"/>
  <c r="C81" i="55"/>
  <c r="D172" i="51"/>
  <c r="G117" i="51"/>
  <c r="E58" i="51"/>
  <c r="C30" i="51"/>
  <c r="C445" i="55"/>
  <c r="C453" i="55"/>
  <c r="A22" i="20"/>
  <c r="I13" i="38"/>
  <c r="O27" i="38"/>
  <c r="C136" i="55"/>
  <c r="U4" i="43"/>
  <c r="E27" i="56"/>
  <c r="C35" i="55"/>
  <c r="M13" i="38"/>
  <c r="G7" i="38"/>
  <c r="A1" i="39"/>
  <c r="C29" i="11"/>
  <c r="C165" i="55"/>
  <c r="C133" i="55"/>
  <c r="E37" i="56"/>
  <c r="C6" i="52"/>
  <c r="C132" i="55"/>
  <c r="A1" i="27"/>
  <c r="C101" i="55"/>
  <c r="A6" i="38"/>
  <c r="C231" i="55"/>
  <c r="C210" i="55"/>
  <c r="C163" i="55"/>
  <c r="E44" i="56"/>
  <c r="C77" i="55"/>
  <c r="C209" i="55"/>
  <c r="A8" i="30"/>
  <c r="C14" i="18"/>
  <c r="O4" i="31"/>
  <c r="C140" i="55"/>
  <c r="E5" i="30"/>
  <c r="G6" i="38"/>
  <c r="A11" i="26"/>
  <c r="C25" i="55"/>
  <c r="K5" i="30"/>
  <c r="C52" i="55"/>
  <c r="E67" i="43"/>
  <c r="C368" i="55"/>
  <c r="C16" i="17"/>
  <c r="E36" i="56"/>
  <c r="A1" i="30"/>
  <c r="C4" i="41"/>
  <c r="I4" i="27"/>
  <c r="C194" i="55"/>
  <c r="C198" i="55"/>
  <c r="M17" i="34"/>
  <c r="E8" i="38"/>
  <c r="M12" i="9"/>
  <c r="C300" i="55"/>
  <c r="A4" i="35"/>
  <c r="A8" i="38"/>
  <c r="C51" i="11"/>
  <c r="A1" i="22"/>
  <c r="C13" i="9"/>
  <c r="E47" i="56"/>
  <c r="C116" i="55"/>
  <c r="C27" i="52"/>
  <c r="C66" i="51"/>
  <c r="C11" i="51"/>
  <c r="C417" i="55"/>
  <c r="I5" i="9"/>
  <c r="K4" i="34"/>
  <c r="E10" i="35"/>
  <c r="G7" i="34"/>
  <c r="I4" i="25"/>
</calcChain>
</file>

<file path=xl/comments1.xml><?xml version="1.0" encoding="utf-8"?>
<comments xmlns="http://schemas.openxmlformats.org/spreadsheetml/2006/main">
  <authors>
    <author>Author</author>
  </authors>
  <commentList>
    <comment ref="L2" authorId="0" shapeId="0">
      <text>
        <r>
          <rPr>
            <sz val="9"/>
            <color indexed="81"/>
            <rFont val="Tahoma"/>
            <family val="2"/>
          </rPr>
          <t>Set of values is given in square brackets [] (e.g. currencies, country codes)</t>
        </r>
      </text>
    </comment>
  </commentList>
</comments>
</file>

<file path=xl/sharedStrings.xml><?xml version="1.0" encoding="utf-8"?>
<sst xmlns="http://schemas.openxmlformats.org/spreadsheetml/2006/main" count="10107" uniqueCount="2667">
  <si>
    <t>Description</t>
  </si>
  <si>
    <t>VIRE</t>
  </si>
  <si>
    <t>Virement</t>
  </si>
  <si>
    <t>VERS</t>
  </si>
  <si>
    <t>Versement</t>
  </si>
  <si>
    <t>DEDE</t>
  </si>
  <si>
    <t>Demande de débit</t>
  </si>
  <si>
    <t>CADE</t>
  </si>
  <si>
    <t>Cartes de débit</t>
  </si>
  <si>
    <t>CACR</t>
  </si>
  <si>
    <t>Cartes de crédit</t>
  </si>
  <si>
    <t>CAMI</t>
  </si>
  <si>
    <t>Cartes mixtes</t>
  </si>
  <si>
    <t>CAPR</t>
  </si>
  <si>
    <t>Carte prépayée</t>
  </si>
  <si>
    <t>CAPA</t>
  </si>
  <si>
    <t>SCME</t>
  </si>
  <si>
    <t>Schéma de monnaie électronique</t>
  </si>
  <si>
    <t>CHAS</t>
  </si>
  <si>
    <t>Chèque d'assignation</t>
  </si>
  <si>
    <t>CHEQ</t>
  </si>
  <si>
    <t>Autres chèques</t>
  </si>
  <si>
    <t>MAPA</t>
  </si>
  <si>
    <t>Mandat de paiement</t>
  </si>
  <si>
    <t>RESC</t>
  </si>
  <si>
    <t>Règlement de solde carte</t>
  </si>
  <si>
    <t>CAOF</t>
  </si>
  <si>
    <t>Carte One-off</t>
  </si>
  <si>
    <t>CMER</t>
  </si>
  <si>
    <t>Carte monnaie électronique - réseau</t>
  </si>
  <si>
    <t>CAAU</t>
  </si>
  <si>
    <t>Cartes - autres</t>
  </si>
  <si>
    <t>Instrument type</t>
  </si>
  <si>
    <t>REC</t>
  </si>
  <si>
    <t>Recall</t>
  </si>
  <si>
    <t>RET</t>
  </si>
  <si>
    <t>Return</t>
  </si>
  <si>
    <t>REJ</t>
  </si>
  <si>
    <t>Reject</t>
  </si>
  <si>
    <t>REV</t>
  </si>
  <si>
    <t>Reversal</t>
  </si>
  <si>
    <t>REF</t>
  </si>
  <si>
    <t>Refund</t>
  </si>
  <si>
    <t>REQ</t>
  </si>
  <si>
    <t>Request for cancellation</t>
  </si>
  <si>
    <t>TAR2</t>
  </si>
  <si>
    <t>Target2</t>
  </si>
  <si>
    <t>EUR1</t>
  </si>
  <si>
    <t>Euro1</t>
  </si>
  <si>
    <t>STE1</t>
  </si>
  <si>
    <t>Step1</t>
  </si>
  <si>
    <t>STE2</t>
  </si>
  <si>
    <t>Step2</t>
  </si>
  <si>
    <t>EQUE</t>
  </si>
  <si>
    <t>Equens</t>
  </si>
  <si>
    <t>ONUS</t>
  </si>
  <si>
    <t>On-us</t>
  </si>
  <si>
    <t>CASH</t>
  </si>
  <si>
    <t>Cash (pour versements)</t>
  </si>
  <si>
    <t>NOLO</t>
  </si>
  <si>
    <t>PSPL</t>
  </si>
  <si>
    <t>PSP LU</t>
  </si>
  <si>
    <t>PSPN</t>
  </si>
  <si>
    <t>AUTR</t>
  </si>
  <si>
    <t>Autre</t>
  </si>
  <si>
    <t>Settlement channel</t>
  </si>
  <si>
    <t>EDCR</t>
  </si>
  <si>
    <t>Etablissement de crédit</t>
  </si>
  <si>
    <t>FMON</t>
  </si>
  <si>
    <t>Fonds monétaires</t>
  </si>
  <si>
    <t>AIFM</t>
  </si>
  <si>
    <t>Autres IFM</t>
  </si>
  <si>
    <t>FNMO</t>
  </si>
  <si>
    <t>ANIF</t>
  </si>
  <si>
    <t>INCO</t>
  </si>
  <si>
    <t>PAPER</t>
  </si>
  <si>
    <t>Paper</t>
  </si>
  <si>
    <t>ELFBA</t>
  </si>
  <si>
    <t>ELSIN</t>
  </si>
  <si>
    <t>SINOB</t>
  </si>
  <si>
    <t>SINWB</t>
  </si>
  <si>
    <t>SINOT</t>
  </si>
  <si>
    <t>DCRDE</t>
  </si>
  <si>
    <t>Demande de débit initiée par le créancier sur le compte du débiteur</t>
  </si>
  <si>
    <t>CARTE</t>
  </si>
  <si>
    <t>Carte permettant d'accéder à de la monnaie électronique stockée sur un compte de ME</t>
  </si>
  <si>
    <t>DDEBI</t>
  </si>
  <si>
    <t>Demande de transfert initiée par le débiteur depuis son compte de ME</t>
  </si>
  <si>
    <t>AUTRE</t>
  </si>
  <si>
    <t>Initiation mode</t>
  </si>
  <si>
    <t>BAL</t>
  </si>
  <si>
    <t>Banque LU</t>
  </si>
  <si>
    <t>BAN</t>
  </si>
  <si>
    <t>INC</t>
  </si>
  <si>
    <t>EMI</t>
  </si>
  <si>
    <t>Emis</t>
  </si>
  <si>
    <t>Reçu</t>
  </si>
  <si>
    <t>DOM</t>
  </si>
  <si>
    <t>BIL</t>
  </si>
  <si>
    <t>Bilatéral</t>
  </si>
  <si>
    <t>AUT</t>
  </si>
  <si>
    <t>Autres</t>
  </si>
  <si>
    <t>ONU</t>
  </si>
  <si>
    <t>WUN</t>
  </si>
  <si>
    <t>Western Union</t>
  </si>
  <si>
    <t>MGR</t>
  </si>
  <si>
    <t>DOI</t>
  </si>
  <si>
    <t>Domiciliation interbancaire</t>
  </si>
  <si>
    <t>Transmission channel</t>
  </si>
  <si>
    <t>MAES</t>
  </si>
  <si>
    <t>Maestro</t>
  </si>
  <si>
    <t>VPAY</t>
  </si>
  <si>
    <t>Vpay</t>
  </si>
  <si>
    <t>VISA</t>
  </si>
  <si>
    <t>Visa</t>
  </si>
  <si>
    <t>MAST</t>
  </si>
  <si>
    <t>Mastercard</t>
  </si>
  <si>
    <t>SURE</t>
  </si>
  <si>
    <t>Monnaie électronique sur réseau</t>
  </si>
  <si>
    <t>DICL</t>
  </si>
  <si>
    <t>Diners Club</t>
  </si>
  <si>
    <t>AMEX</t>
  </si>
  <si>
    <t>American Express</t>
  </si>
  <si>
    <t>JCCB</t>
  </si>
  <si>
    <t>CHUP</t>
  </si>
  <si>
    <t>PROP</t>
  </si>
  <si>
    <t>Propriétaire</t>
  </si>
  <si>
    <t>COR</t>
  </si>
  <si>
    <t>Core</t>
  </si>
  <si>
    <t>B2B</t>
  </si>
  <si>
    <t>SDD scheme</t>
  </si>
  <si>
    <t>Emission</t>
  </si>
  <si>
    <t>DIS</t>
  </si>
  <si>
    <t>Distribution</t>
  </si>
  <si>
    <t>Card activity</t>
  </si>
  <si>
    <t>ATM</t>
  </si>
  <si>
    <t>SAL</t>
  </si>
  <si>
    <t>Sales</t>
  </si>
  <si>
    <t>CRE</t>
  </si>
  <si>
    <t>Crédit</t>
  </si>
  <si>
    <t>CHA</t>
  </si>
  <si>
    <t>Chargement</t>
  </si>
  <si>
    <t>DCH</t>
  </si>
  <si>
    <t>Déchargement</t>
  </si>
  <si>
    <t>TEM</t>
  </si>
  <si>
    <t>Transfert émis</t>
  </si>
  <si>
    <t>TRE</t>
  </si>
  <si>
    <t>Transfert reçu</t>
  </si>
  <si>
    <t>DDE</t>
  </si>
  <si>
    <t>Demande de débit en ME</t>
  </si>
  <si>
    <t>CAS</t>
  </si>
  <si>
    <t>Cash</t>
  </si>
  <si>
    <t>WIT</t>
  </si>
  <si>
    <t>Withdrawal</t>
  </si>
  <si>
    <t>CHM</t>
  </si>
  <si>
    <t>ATC</t>
  </si>
  <si>
    <t>ATM cash deposit</t>
  </si>
  <si>
    <t>POC</t>
  </si>
  <si>
    <t>Point of sale cash advance</t>
  </si>
  <si>
    <t>DCM</t>
  </si>
  <si>
    <t>DEP</t>
  </si>
  <si>
    <t>Deposit</t>
  </si>
  <si>
    <t>ITT</t>
  </si>
  <si>
    <t>IT transaction</t>
  </si>
  <si>
    <t>CBI</t>
  </si>
  <si>
    <t>DBI</t>
  </si>
  <si>
    <t>DBF</t>
  </si>
  <si>
    <t>CCD</t>
  </si>
  <si>
    <t>DTF</t>
  </si>
  <si>
    <t>LAD</t>
  </si>
  <si>
    <t>Loan amount disbursal</t>
  </si>
  <si>
    <t>LAR</t>
  </si>
  <si>
    <t>Loan amount repayment</t>
  </si>
  <si>
    <t>CSI</t>
  </si>
  <si>
    <t>DSI</t>
  </si>
  <si>
    <t>CFE</t>
  </si>
  <si>
    <t>DFE</t>
  </si>
  <si>
    <t>Operation type</t>
  </si>
  <si>
    <t>POS</t>
  </si>
  <si>
    <t>TCH</t>
  </si>
  <si>
    <t>ECO</t>
  </si>
  <si>
    <t>IMP</t>
  </si>
  <si>
    <t>Imprinter</t>
  </si>
  <si>
    <t>TTM</t>
  </si>
  <si>
    <t>OTM</t>
  </si>
  <si>
    <t>EMT</t>
  </si>
  <si>
    <t>Automated teller machine</t>
  </si>
  <si>
    <t>Terminal type</t>
  </si>
  <si>
    <t>CON</t>
  </si>
  <si>
    <t>Chip online</t>
  </si>
  <si>
    <t>COF</t>
  </si>
  <si>
    <t>Chip offline</t>
  </si>
  <si>
    <t>MAN</t>
  </si>
  <si>
    <t>Manual</t>
  </si>
  <si>
    <t>OFL</t>
  </si>
  <si>
    <t>Offline</t>
  </si>
  <si>
    <t>ONL</t>
  </si>
  <si>
    <t>Online</t>
  </si>
  <si>
    <t>SCI</t>
  </si>
  <si>
    <t>Stronger customer authentification</t>
  </si>
  <si>
    <t>Acceptance mode</t>
  </si>
  <si>
    <t>ACT</t>
  </si>
  <si>
    <t>Actif</t>
  </si>
  <si>
    <t>INA</t>
  </si>
  <si>
    <t>Inactif</t>
  </si>
  <si>
    <t>Activity level</t>
  </si>
  <si>
    <t>PRO</t>
  </si>
  <si>
    <t xml:space="preserve">Professionnel </t>
  </si>
  <si>
    <t>PRI</t>
  </si>
  <si>
    <t>Privé</t>
  </si>
  <si>
    <t>Account type</t>
  </si>
  <si>
    <t>PUR</t>
  </si>
  <si>
    <t>Purchase</t>
  </si>
  <si>
    <t>P2P</t>
  </si>
  <si>
    <t>Particulier à particulier</t>
  </si>
  <si>
    <t>Transfer type</t>
  </si>
  <si>
    <t>COB</t>
  </si>
  <si>
    <t>Compte bancaire</t>
  </si>
  <si>
    <t>CAP</t>
  </si>
  <si>
    <t>Carte de paiement</t>
  </si>
  <si>
    <t>SCT</t>
  </si>
  <si>
    <t>SDD</t>
  </si>
  <si>
    <t>COPA</t>
  </si>
  <si>
    <t>Compte de paiement</t>
  </si>
  <si>
    <t>Account category</t>
  </si>
  <si>
    <t>V1.4.3</t>
  </si>
  <si>
    <t>V1.7.1</t>
  </si>
  <si>
    <t>V1.3.2</t>
  </si>
  <si>
    <t>V1.1.1</t>
  </si>
  <si>
    <t>V1.8.5</t>
  </si>
  <si>
    <t>V1.3.1</t>
  </si>
  <si>
    <t>V1.4.1</t>
  </si>
  <si>
    <t>V1.8.3</t>
  </si>
  <si>
    <t>V1.12</t>
  </si>
  <si>
    <t>V1.13</t>
  </si>
  <si>
    <t>V1.14</t>
  </si>
  <si>
    <t>V1.8.1</t>
  </si>
  <si>
    <t>V1.4.2</t>
  </si>
  <si>
    <t>V1.10</t>
  </si>
  <si>
    <t>Scheme / Support type</t>
  </si>
  <si>
    <t>Loading source / Funding source / Underlying payment instrument</t>
  </si>
  <si>
    <t>R-transaction type</t>
  </si>
  <si>
    <t>V1.1.2</t>
  </si>
  <si>
    <t>V1.1.3</t>
  </si>
  <si>
    <t>V1.2.1</t>
  </si>
  <si>
    <t>V1.2.2</t>
  </si>
  <si>
    <t>V1.2.3</t>
  </si>
  <si>
    <t>Version</t>
  </si>
  <si>
    <t>versions 1,2 and 3</t>
  </si>
  <si>
    <t>V1.3.3</t>
  </si>
  <si>
    <t>V1.3.5</t>
  </si>
  <si>
    <t>V1.5</t>
  </si>
  <si>
    <t>V1.6</t>
  </si>
  <si>
    <t>V1.8.4</t>
  </si>
  <si>
    <t>V1.7.2</t>
  </si>
  <si>
    <t>V1.1.4</t>
  </si>
  <si>
    <t>V1.1.5</t>
  </si>
  <si>
    <t>V1.3.4</t>
  </si>
  <si>
    <t>V1.3.6</t>
  </si>
  <si>
    <t>V1.11</t>
  </si>
  <si>
    <t>since version 4</t>
  </si>
  <si>
    <t>since version 1</t>
  </si>
  <si>
    <t xml:space="preserve">since version 1 </t>
  </si>
  <si>
    <t>Moneygram</t>
  </si>
  <si>
    <t>since version 3</t>
  </si>
  <si>
    <t>Oui</t>
  </si>
  <si>
    <t>Non</t>
  </si>
  <si>
    <t xml:space="preserve">since version 3 </t>
  </si>
  <si>
    <t xml:space="preserve">since version 4 </t>
  </si>
  <si>
    <t>SEPA capable</t>
  </si>
  <si>
    <t>Relation nostro/loro</t>
  </si>
  <si>
    <t>PSP non-LU</t>
  </si>
  <si>
    <t>Fonds non-monétaires</t>
  </si>
  <si>
    <t>Autres non-IFM</t>
  </si>
  <si>
    <t>Electronic file batch</t>
  </si>
  <si>
    <t>Electronic single</t>
  </si>
  <si>
    <t>Single online banking e-payments</t>
  </si>
  <si>
    <t>Single web banking</t>
  </si>
  <si>
    <t>Single other</t>
  </si>
  <si>
    <t>Banque non- LU</t>
  </si>
  <si>
    <t>Japan Credit Card Bureau</t>
  </si>
  <si>
    <t>China Union Pay</t>
  </si>
  <si>
    <t>Chargement marchand</t>
  </si>
  <si>
    <t>Déchargement marchand</t>
  </si>
  <si>
    <t>Credit of banking interests</t>
  </si>
  <si>
    <t>Debit of banking interests</t>
  </si>
  <si>
    <t>Debit of banking fees</t>
  </si>
  <si>
    <t>Credit of coupons and dividends</t>
  </si>
  <si>
    <t>Debit of taxes linked to financial assets</t>
  </si>
  <si>
    <t>Credits relating to securities and investment funds</t>
  </si>
  <si>
    <t>Debts relating to securities and investment funds</t>
  </si>
  <si>
    <t>Credits relating to foreign exchange transactions</t>
  </si>
  <si>
    <t>Debts relating to foreign exchange transactions</t>
  </si>
  <si>
    <t>ECO (e-commerce)</t>
  </si>
  <si>
    <t>since version 5</t>
  </si>
  <si>
    <t>Transaction side / Direction of the operation</t>
  </si>
  <si>
    <t>Inconnu ou non-applicable (N/A)</t>
  </si>
  <si>
    <t>SEPA Credit Transfer</t>
  </si>
  <si>
    <t>SEPA Direct Debit</t>
  </si>
  <si>
    <t>O</t>
  </si>
  <si>
    <t>N</t>
  </si>
  <si>
    <t xml:space="preserve">Inconnu ou non-applicable (N/A) </t>
  </si>
  <si>
    <t>Cash (1st possible code for OTC cash withdrawals / this item has been transfered to the table V1.11 starting version 5)</t>
  </si>
  <si>
    <t>Withdrawal (2nd possible code for OTC cash withdrawals / this item has been transfered to the table V1.11 starting version 5)</t>
  </si>
  <si>
    <t>versions 1,2,3 and 4</t>
  </si>
  <si>
    <t xml:space="preserve">Transfer Teller Machine [in the instructions, it refers to: ATM with a credit transfer function] </t>
  </si>
  <si>
    <t xml:space="preserve">Operation Teller Machine [in the instructions, it refers to: ATM with a (un)loading function] </t>
  </si>
  <si>
    <t xml:space="preserve">Electronic Money Terminal [in the instructions, it refers to: Electronic money payment terminal] </t>
  </si>
  <si>
    <t xml:space="preserve">Terminal de chargement [in the instructions, it refers to: (un)loading terminal] </t>
  </si>
  <si>
    <t>Client category</t>
  </si>
  <si>
    <t>Client type</t>
  </si>
  <si>
    <t>??</t>
  </si>
  <si>
    <t>?</t>
  </si>
  <si>
    <t>Customer transfers sent</t>
  </si>
  <si>
    <t>Customer transfers received</t>
  </si>
  <si>
    <t>Intermediated customer transfers</t>
  </si>
  <si>
    <t>Interbank transfers sent</t>
  </si>
  <si>
    <t>Interbank transfers received</t>
  </si>
  <si>
    <t>Intermediated interbank transfers</t>
  </si>
  <si>
    <t>Legacy direct debits</t>
  </si>
  <si>
    <t>Settlement of payment card balances</t>
  </si>
  <si>
    <t>Stock taking of payment cards</t>
  </si>
  <si>
    <t>Fundings and withdrawals on prepaid cards</t>
  </si>
  <si>
    <t>Number of terminals accepting payment cards</t>
  </si>
  <si>
    <t>Checks and Money orders issued</t>
  </si>
  <si>
    <t>Checks and Money orders received</t>
  </si>
  <si>
    <t>Stock taking of payment accounts</t>
  </si>
  <si>
    <t>OTC CASH TRANSACTIONS</t>
  </si>
  <si>
    <t>Transactions via telecommunication, digital or IT device</t>
  </si>
  <si>
    <t>Credits to the accounts by simple book entry</t>
  </si>
  <si>
    <t>Debits from the account by simple book entry</t>
  </si>
  <si>
    <t>R-transactions related to SCT sent</t>
  </si>
  <si>
    <t>R-transactions related to SCT received</t>
  </si>
  <si>
    <t>R-transactions – SDD / Reporting as Debtor bank</t>
  </si>
  <si>
    <t>Stock-taking of software based e-money schemes’ accounts</t>
  </si>
  <si>
    <t>Software based funding and withdrawal transactions in e-money</t>
  </si>
  <si>
    <t>Software based e-money transfers</t>
  </si>
  <si>
    <t>Initiation mode of software based e-money transfers</t>
  </si>
  <si>
    <t>SDD transactions - Reporting as Debtor bank</t>
  </si>
  <si>
    <t>SDD transactions - Reporting as Creditor bank</t>
  </si>
  <si>
    <t>R-transactions - SEPA Direct Debits / Reporting as creditor bank</t>
  </si>
  <si>
    <t>Card transactions - Issuing</t>
  </si>
  <si>
    <t>Card transactions - Acquiring</t>
  </si>
  <si>
    <t>Possible values</t>
  </si>
  <si>
    <t>Dim1</t>
  </si>
  <si>
    <t>Dim2</t>
  </si>
  <si>
    <t>Dim3</t>
  </si>
  <si>
    <t>Dim4</t>
  </si>
  <si>
    <t>Dim5</t>
  </si>
  <si>
    <t>Dim6</t>
  </si>
  <si>
    <t>UNKN</t>
  </si>
  <si>
    <t>Other non-MFI</t>
  </si>
  <si>
    <t>NMFU</t>
  </si>
  <si>
    <t>Non-monetary funds</t>
  </si>
  <si>
    <t>Other MFI</t>
  </si>
  <si>
    <t>Monetary funds</t>
  </si>
  <si>
    <t>CRIN</t>
  </si>
  <si>
    <t>MOFU</t>
  </si>
  <si>
    <t>Unknown</t>
  </si>
  <si>
    <t>Other</t>
  </si>
  <si>
    <t>[Geo]</t>
  </si>
  <si>
    <t>Currency</t>
  </si>
  <si>
    <t>[Currency]</t>
  </si>
  <si>
    <t>2-letter ISO 3166 country code</t>
  </si>
  <si>
    <t>OTHR</t>
  </si>
  <si>
    <t>Dim number</t>
  </si>
  <si>
    <t>3-letter ISO 4217 currency code</t>
  </si>
  <si>
    <t>Table label</t>
  </si>
  <si>
    <t>Table code</t>
  </si>
  <si>
    <t>Dim label</t>
  </si>
  <si>
    <t>Element label</t>
  </si>
  <si>
    <t>Old tables</t>
  </si>
  <si>
    <t>New tables</t>
  </si>
  <si>
    <t>V1.30</t>
  </si>
  <si>
    <t>Internal comments</t>
  </si>
  <si>
    <t>Elements</t>
  </si>
  <si>
    <t>Credit institutions</t>
  </si>
  <si>
    <t>Instrument type removed</t>
  </si>
  <si>
    <t>CORL</t>
  </si>
  <si>
    <t>CORN</t>
  </si>
  <si>
    <t>Cash correspondent LU</t>
  </si>
  <si>
    <t>Cash correspondent non-LU</t>
  </si>
  <si>
    <t>renamed PSP LU</t>
  </si>
  <si>
    <t>renamed PSP non LU</t>
  </si>
  <si>
    <t>Scheme</t>
  </si>
  <si>
    <t>nostro-loro removed, use CORL/CORN instead</t>
  </si>
  <si>
    <t>More detail on scheme, not only SEPA yes or no</t>
  </si>
  <si>
    <t>ValueType</t>
  </si>
  <si>
    <t>Value type</t>
  </si>
  <si>
    <t>VOLU</t>
  </si>
  <si>
    <t>VALE</t>
  </si>
  <si>
    <t>VALF</t>
  </si>
  <si>
    <t>VOLF</t>
  </si>
  <si>
    <t>Volume of transactions</t>
  </si>
  <si>
    <t>Value of transactions</t>
  </si>
  <si>
    <t xml:space="preserve">Volume of fraudulent transactions </t>
  </si>
  <si>
    <t>Value of fraudulent transactions</t>
  </si>
  <si>
    <t>&lt;- modifications or new items in red</t>
  </si>
  <si>
    <t>ELSIN removed</t>
  </si>
  <si>
    <t>MOTO</t>
  </si>
  <si>
    <t>Mail order / telephone order</t>
  </si>
  <si>
    <t>Single online banking e-commerce payment</t>
  </si>
  <si>
    <t>slightly renamed</t>
  </si>
  <si>
    <t>SINAT</t>
  </si>
  <si>
    <t>Single: ATM or other PSP terminal</t>
  </si>
  <si>
    <t>SINMO</t>
  </si>
  <si>
    <t>Single Mobile: P2P</t>
  </si>
  <si>
    <t>SINP2</t>
  </si>
  <si>
    <t>Single Mobile: Other mobile payment solution</t>
  </si>
  <si>
    <t>PISP</t>
  </si>
  <si>
    <t>Payment initiation service provider</t>
  </si>
  <si>
    <t>Remote</t>
  </si>
  <si>
    <t>REM</t>
  </si>
  <si>
    <t>NRE</t>
  </si>
  <si>
    <t>Remote transaction</t>
  </si>
  <si>
    <t xml:space="preserve">Non-remote transaction </t>
  </si>
  <si>
    <t xml:space="preserve">SEPA credit transfer </t>
  </si>
  <si>
    <t>SEPAInst</t>
  </si>
  <si>
    <t>SCN</t>
  </si>
  <si>
    <t>Non-SEPA scheme</t>
  </si>
  <si>
    <t>&lt;- For ECB, each non SEPA scheme should be individually reported. How should we implement that?</t>
  </si>
  <si>
    <t>Authentication method</t>
  </si>
  <si>
    <t>SCA</t>
  </si>
  <si>
    <t>NSC</t>
  </si>
  <si>
    <t>Strong customer authentication</t>
  </si>
  <si>
    <t>Non-strong customer authentication</t>
  </si>
  <si>
    <t>NEW: split par authentication method</t>
  </si>
  <si>
    <t>Dim7</t>
  </si>
  <si>
    <t>Reason for non-SCA</t>
  </si>
  <si>
    <t>N/A</t>
  </si>
  <si>
    <t>Low value</t>
  </si>
  <si>
    <t>Payment to self</t>
  </si>
  <si>
    <t>Trusted beneficiaries</t>
  </si>
  <si>
    <t xml:space="preserve">Recurring transaction </t>
  </si>
  <si>
    <t>Secure corporate payment processes and protocols</t>
  </si>
  <si>
    <t>Transaction Risk Analysis</t>
  </si>
  <si>
    <t>LOW</t>
  </si>
  <si>
    <t>SLF</t>
  </si>
  <si>
    <t>TRA</t>
  </si>
  <si>
    <t>SCP</t>
  </si>
  <si>
    <t>TRB</t>
  </si>
  <si>
    <t>Dim8</t>
  </si>
  <si>
    <t>Fraud Type</t>
  </si>
  <si>
    <t>Not applicable to ValueType=VOLU or VALE</t>
  </si>
  <si>
    <t>ISSU</t>
  </si>
  <si>
    <t xml:space="preserve">Issuance of a payment order by the fraudster </t>
  </si>
  <si>
    <t>Modification of a payment order by the fraudster</t>
  </si>
  <si>
    <t>Manipulation of the payer by the fraudster to issue a payment order</t>
  </si>
  <si>
    <t>Payer acted fraudulently</t>
  </si>
  <si>
    <t>MANI</t>
  </si>
  <si>
    <t>PAYR</t>
  </si>
  <si>
    <t>MODI</t>
  </si>
  <si>
    <t>Dim9</t>
  </si>
  <si>
    <t>Country of reception</t>
  </si>
  <si>
    <t>Dim10</t>
  </si>
  <si>
    <t>Do we keep currency?</t>
  </si>
  <si>
    <t>Should we introduce unknown?</t>
  </si>
  <si>
    <t>N/A if SCA applied, or initiation mode=paper, MOTO</t>
  </si>
  <si>
    <t>Is Digicash mobile P2P or PISP? Are these exclusive? If not they cannot be together in initiation mode.</t>
  </si>
  <si>
    <t xml:space="preserve">Not applicable </t>
  </si>
  <si>
    <t xml:space="preserve">For PAPER or MOTO (i.e. non-electronic), the authentication method is not applicable </t>
  </si>
  <si>
    <t>Not applicable</t>
  </si>
  <si>
    <t>Initiation channel</t>
  </si>
  <si>
    <t>ATM or other PSP terminal</t>
  </si>
  <si>
    <t>P2P mobile payment solution</t>
  </si>
  <si>
    <t>Non-remote</t>
  </si>
  <si>
    <t>SCTI</t>
  </si>
  <si>
    <t>SCA used</t>
  </si>
  <si>
    <t>V1.20 Customer credit transfers sent (payments)</t>
  </si>
  <si>
    <t>Fraud type</t>
  </si>
  <si>
    <t>OMFI</t>
  </si>
  <si>
    <t>SEPA</t>
  </si>
  <si>
    <t>ONMF</t>
  </si>
  <si>
    <t>Own account operation</t>
  </si>
  <si>
    <t>OWNA</t>
  </si>
  <si>
    <t>ELMI</t>
  </si>
  <si>
    <t>Notes:</t>
  </si>
  <si>
    <t>Remote only:</t>
  </si>
  <si>
    <t>INDEX</t>
  </si>
  <si>
    <t>Reasons for non-SCA:</t>
  </si>
  <si>
    <t>Remote or non-remote:</t>
  </si>
  <si>
    <t>Contactless low value</t>
  </si>
  <si>
    <t>Unattended terminal for transport fares or parking fees</t>
  </si>
  <si>
    <t>Introduction</t>
  </si>
  <si>
    <t>Mobile payment solutions (MPS):</t>
  </si>
  <si>
    <t>accepting contactless transactions</t>
  </si>
  <si>
    <t>Terminal function</t>
  </si>
  <si>
    <t>-</t>
  </si>
  <si>
    <t>Table 3</t>
  </si>
  <si>
    <t>Accessed through a card</t>
  </si>
  <si>
    <t>Payment transaction type</t>
  </si>
  <si>
    <t>Annex II</t>
  </si>
  <si>
    <t>Refer to definitions for ‘e-money accounts’ and ‘card with an e-money function’.</t>
  </si>
  <si>
    <t>Table 4a</t>
  </si>
  <si>
    <t>Acquirer</t>
  </si>
  <si>
    <t>General</t>
  </si>
  <si>
    <t xml:space="preserve"> ‘Acquirer’ means ‘acquirer’ as defined in Article 2(1) of Regulation (EU) 2015/751.</t>
  </si>
  <si>
    <t>Acquiring of payment transactions</t>
  </si>
  <si>
    <t>‘Acquiring of payment transactions’ means ‘acquiring of payment transactions’ as defined in Article 4(44) of Directive (EU) 2015/2366.</t>
  </si>
  <si>
    <t>ATMs</t>
  </si>
  <si>
    <t>Electromechanical device that allows authorised users using a card-based payment instrument or other technological device, to withdraw cash from their accounts and/or access other services, allowing them, inter alia, to make balance enquiries, transfer funds or deposit money.</t>
  </si>
  <si>
    <t>The sub-categories explained below for the ATMs are not mutually exclusive. The sum of ATMs is therefore not limited to ATMs with a cash withdrawal function, ATMs with a credit transfer function and ATMs accepting contactless payments. Cash recycling machines are included in the reporting of ATMs and also in one of the sub-items if they provide more than a cash recycling function. Bulk deposit machines are not included in ATMs as the definition requires that an ATM has a cash withdrawal function.</t>
  </si>
  <si>
    <t>ATMs with a cash withdrawal function</t>
  </si>
  <si>
    <t xml:space="preserve">ATM allowing authorised users to withdraw cash from their accounts by using a card-based payment instrument or other means. </t>
  </si>
  <si>
    <t>ATMs with a credit transfer function</t>
  </si>
  <si>
    <t xml:space="preserve">ATM allowing authorised users to make credit transfers using a card-based payment instrument or other means. </t>
  </si>
  <si>
    <t>Authenticated via non-Strong Customer Authentication (non-SCA)</t>
  </si>
  <si>
    <t>Table 5a</t>
  </si>
  <si>
    <t>Authenticated via Strong Customer Authentication (SCA)</t>
  </si>
  <si>
    <t>Strong customer authentication (SCA)’ means ‘strong customer authentication’ as defined in Article 4(30) of Directive (EU) 2015/2366.</t>
  </si>
  <si>
    <t>Authentication</t>
  </si>
  <si>
    <t>‘Authentication’ means ‘authentication’ as defined in Article 4(29) of Directive (EU) 2015/2366.</t>
  </si>
  <si>
    <t>Credit transfers, direct debits, card-based payment transactions and e-money payment transactions are further broken down between strong and non-strong customer authentication. Transactions reported by PISPs are also broken down by authentication channel.</t>
  </si>
  <si>
    <t>Table 4b</t>
  </si>
  <si>
    <t>Card Details theft</t>
  </si>
  <si>
    <t xml:space="preserve">Theft of sensitive payment data as defined in Article (32) of Directive (EU) 2015/2366. The sensitive payment data in this case refer to data on a card-based payment instrument.  </t>
  </si>
  <si>
    <t xml:space="preserve">Card Not Received </t>
  </si>
  <si>
    <t xml:space="preserve">A card-based payment instrument that the payer claimed was not received, although the payer’s PSP (issuer) confirms it was sent to the payer (by any delivery method). </t>
  </si>
  <si>
    <t>Card-based payment instrument</t>
  </si>
  <si>
    <t xml:space="preserve">‘Card-based payment instrument’ means ‘Card-based payment instrument’ as defined in Article 2(20) of Regulation EU 2015/751. For the purposes of this Regulation, delayed debit cards are included.  </t>
  </si>
  <si>
    <t>Card-based payment transactions with card-based payment instruments issued by resident PSP (except cards with an e-money function only)</t>
  </si>
  <si>
    <t xml:space="preserve">‘Card-based payment transaction’ means ‘card-based payment transaction’ as defined in Article 2(7) of Regulation EU 2015/751. For the purposes of this Regulation, delayed debit cards are included.   </t>
  </si>
  <si>
    <t>Card-based payment transactions with card-based payment instruments issued by resident PSPs (sent) are reported by the issuing PSP while card-based payment transactions acquired by resident PSPs (received) are reported by the acquiring PSP. For example, in a case where a credit transfer is initiated at a terminal and a payment card is used to authenticate the payment service user, this is not a card-based payment transaction.</t>
  </si>
  <si>
    <t>Cards on which e-money can be stored directly</t>
  </si>
  <si>
    <t>Card function</t>
  </si>
  <si>
    <t>E-money held on a card in the e-money holder’s possession. Refer also to the definition of ‘electronic money’.</t>
  </si>
  <si>
    <t>Table 2</t>
  </si>
  <si>
    <t>Cards which give access to e-money stored on e-money accounts</t>
  </si>
  <si>
    <t>Refer to definition of ‘e-money accounts’.</t>
  </si>
  <si>
    <t>Cards with a cash function</t>
  </si>
  <si>
    <t>A card enabling the holder to withdraw cash from an ATM and/or to deposit cash to an ATM.</t>
  </si>
  <si>
    <t>Cards with a combined debit, cash and e-money function</t>
  </si>
  <si>
    <t>All valid cards in circulation, that have all functions at the same time, are included.</t>
  </si>
  <si>
    <t>Cards with a contactless payment function</t>
  </si>
  <si>
    <t>A card that allows a card payment transaction to be initiated with a particular type of contactless technology and where both the payer and the payee of the payment transaction (and/or their equipment) are in the same physical location.</t>
  </si>
  <si>
    <t>Cards with a payment function</t>
  </si>
  <si>
    <t>A card which has at least one of the following functions: a debit function, delayed debit function or credit function. The card may also have other functions, such as an e-money function, but cards with only an e-money function are not counted in this category. Cards with only a cash withdrawals/deposits function are not included.</t>
  </si>
  <si>
    <t>Cards with an e-money function</t>
  </si>
  <si>
    <t xml:space="preserve">A card on which e-money can be stored directly and/or gives access to e-money stored on e-money accounts, enabling e-money payment transactions. </t>
  </si>
  <si>
    <t>Cards with an e-money function which have been loaded at least once</t>
  </si>
  <si>
    <t>A card with an e-money function which has been loaded at least once and can thus be considered activated. Loading may be interpreted as indicative of the intention to use the e-money function.</t>
  </si>
  <si>
    <t>Cash withdrawals using card-based payment instruments (except e-money transactions)</t>
  </si>
  <si>
    <t>Cash withdrawals at an ATM or at the counter of a PSP using a card (or other technological device) with a cash function.</t>
  </si>
  <si>
    <t>Cheques</t>
  </si>
  <si>
    <t>A written and signed order from one party, i.e. the drawer, to another, i.e. the drawee, which is  in principle a credit institution, requiring the drawee to pay a specified sum unconditionally and on demand to the drawer or to a third party specified by the drawer.</t>
  </si>
  <si>
    <t>consent given in other forms</t>
  </si>
  <si>
    <t>Channel used for giving consent</t>
  </si>
  <si>
    <t>consent given via an electronic mandate</t>
  </si>
  <si>
    <t>A consent given by the payer via a mandate as defined in Article 2(21) of Regulation (EU) No 260/2012 which is in electronic form..</t>
  </si>
  <si>
    <t xml:space="preserve">Contactless payments to which the exception in Article 11 of the Commission Delegated Regulation (EU) 2018/389 applies </t>
  </si>
  <si>
    <t>Contactless low value applies for credit transfers, card-based payment transactions, and e-money payment transactions.</t>
  </si>
  <si>
    <t>A payment transaction using a card or other means where the payer and the merchant (and/or their equipment) are at the same physical location and where the communication between the portable device and the point of sale (POS) takes place through contactless technology.</t>
  </si>
  <si>
    <t xml:space="preserve">Counterfeit card </t>
  </si>
  <si>
    <t>The use of an altered or illegally reproduced card-based payment instrument, including the replication or alteration of the magnetic stripe or embossing.</t>
  </si>
  <si>
    <t>Counterfeit e-money card</t>
  </si>
  <si>
    <t>The use of an altered or illegally reproduced e-money card, including the replication or alteration of the magnetic stripe or embossing.</t>
  </si>
  <si>
    <t>Credit card</t>
  </si>
  <si>
    <t>‘Credit card’ has the same meaning as ‘credit card’ as defined in Article 2(34) of Regulation (EU) 2015/751. For the purposes of this Regulation, delayed debit cards are excluded.</t>
  </si>
  <si>
    <t>Credit transfer payment schemes</t>
  </si>
  <si>
    <t>Refer to the definition of ‘payment scheme’. International payment schemes include SEPA Credit Transfer scheme and SEPA Instant Credit Transfer scheme.</t>
  </si>
  <si>
    <t xml:space="preserve">The reporting of credit transfers by scheme is broken down separately for each scheme. International schemes are SEPA CT scheme and SEPA inst scheme. </t>
  </si>
  <si>
    <t>Credit transfers</t>
  </si>
  <si>
    <t>‘Credit transfer’ means ‘credit transfer’ as defined in Article 4(24) of Directive (EU) 2015/2366.</t>
  </si>
  <si>
    <t xml:space="preserve">Credit transaction initiated by a payment service provider (PSP) (including electronic money issuer) without a specific transaction order and executed by simple book entry (simple book entry means a credit entry, to the account of a customer, without the use of a traditional payment instrument). The following transactions are reported for this item: (a) interest payment by the bank; (b) dividend payment by the bank; (c) disbursal of the amount of a loan to the current account of the customer; and (d) other credits to the account by simple book entry. These data are excluded from credit transfers. </t>
  </si>
  <si>
    <t>Debit card</t>
  </si>
  <si>
    <t>‘Debit card’ means ‘debit card’ as defined in Article 2(33) of Regulation (EU) 2015/751.</t>
  </si>
  <si>
    <t>Debits from the accounts by simple book entry</t>
  </si>
  <si>
    <t>Debit transaction initiated by a PSP (including electronic money issuer) without a specific transaction order and executed by simple book entry (debit entry) to the account of a customer, i.e. without the use of a traditional payment instrument. The following transactions are reported for this item: (a) charge of interest by the bank; (b) deduction of banking fees; (c) payment of  taxes linked to financial assets, if they are a separate transaction but not separately authorised by the customer; (d) repayments of the amount of a loan; and (e) other debits to the account by simple book entry. These data are excluded from direct debits.</t>
  </si>
  <si>
    <t>Delayed debit card</t>
  </si>
  <si>
    <t>A card enabling cardholders to have their purchases charged to an account with the card issuer up to an authorised limit. The balance in this account is then settled in full at the end of a pre-defined period. The holder is usually charged an annual fee.</t>
  </si>
  <si>
    <t>Digital wallet</t>
  </si>
  <si>
    <t xml:space="preserve">A digital wallet is defined as “a solution wherein users can register data relating to one or more payment instruments or payment accounts to make possible the initiation of payment transactions” .  </t>
  </si>
  <si>
    <t>Direct debits</t>
  </si>
  <si>
    <t>‘Direct debit’ means ‘direct debit’ as defined in Article 4(23) of Directive (EU) 2015/2366</t>
  </si>
  <si>
    <t>Direct debits payment schemes</t>
  </si>
  <si>
    <t>Refer to definition of ‘payment scheme’. International direct debit schemes include SEPA Direct Debit Core scheme and SEPA Direct Debit Business to Business scheme.</t>
  </si>
  <si>
    <t>The reporting of direct debits by scheme is broken down separately for each scheme. International schemes are SEPA Direct Debit B2B scheme and SEPA Direct Debit core scheme.</t>
  </si>
  <si>
    <t>E-commerce payments</t>
  </si>
  <si>
    <t>The sale or purchase of goods or services, whether between businesses, households, individuals or private organizations, through electronic transactions conducted via the internet or other computer-mediated (online communication) networks. The term covers the ordering of goods and services which are sent over computer networks, but the payment and the ultimate delivery of the goods or service may be conducted either on- or off-line.</t>
  </si>
  <si>
    <t>EFTPOS terminals</t>
  </si>
  <si>
    <t>EFTPOS terminals accepting e-money card transactions</t>
  </si>
  <si>
    <t xml:space="preserve">POS terminals accepting e-money card transactions include all terminals which accept card-based payment instrument and also e-money cards. All POS terminals accepting e-money card transactions are also included in e-money card accepting terminals. The opposite does not hold true. </t>
  </si>
  <si>
    <t>E-money card accepting terminals</t>
  </si>
  <si>
    <t>Terminal allowing holders of e-money on a card with an e-money function to transfer e-money value from their balance to the balance of the merchant or other beneficiary.</t>
  </si>
  <si>
    <t>E-money card loading and unloading terminals</t>
  </si>
  <si>
    <t>Terminal allowing the transfer of e-money value from an electronic money issuer to the holder of a card with an e-money function and vice versa, i.e. loading and unloading.</t>
  </si>
  <si>
    <t xml:space="preserve">This item includes all terminals, irrespective of whether the terminal is a POS or not, at which a card with an e-money function can be loaded or unloaded. </t>
  </si>
  <si>
    <t>E-money card not received</t>
  </si>
  <si>
    <t>An e-money card that the payer claimed was not received, although the payer’s PSP (issuer) confirms it was sent to the payer (by any delivery method).</t>
  </si>
  <si>
    <t>E-money card terminals</t>
  </si>
  <si>
    <t>Terminal allowing the transfer of electronic value from an electronic money issuer to the holder of a card with an e-money function and vice versa (i.e. loading and unloading) or terminal allowing holders of e-money on a card with an e-money function to transfer e-money value from their balance to the balance of the merchant or other beneficiary.</t>
  </si>
  <si>
    <t xml:space="preserve">‘E-money payment transaction’ means a payment transaction using electronic money. See the definition of ‘electronic money’. ‘E-money payment transaction’ means a payment transaction using ‘electronic money’ as defined in Article 2(2) of Directive 2009/110/EC. </t>
  </si>
  <si>
    <t>Fraudulent payment transaction</t>
  </si>
  <si>
    <t>‘Fraudulent payment transaction’ includes all instances of payment fraud referred to in Guideline 1.1 of the EBA Guidelines on reporting requirements for fraud data under Article 96(6) PSD2 (EBA/GL/2018/05).</t>
  </si>
  <si>
    <t>Geo 0</t>
  </si>
  <si>
    <t>Geographical area</t>
  </si>
  <si>
    <t>Annex III</t>
  </si>
  <si>
    <t>This means one breakdown for domestic, referring to PSPs resident in the reporting country. As regards payment transactions, the geographical breakdown Geo 0 corresponds to transactions (e.g. credit transfers or card payments) between PSPs resident in the same country involving non-MFIs.</t>
  </si>
  <si>
    <t>Geo 1</t>
  </si>
  <si>
    <t xml:space="preserve">This means one breakdown for domestic and cross-border combined, referring to all payment transactions sent – irrespective of the country of residence of the counterpart (receiving party). </t>
  </si>
  <si>
    <t>Geo 2</t>
  </si>
  <si>
    <t xml:space="preserve">This means one breakdown for Cross-border, referring to all payment transactions sent by domestic TARGET2 component systems to TARGET2 component systems not resident in the reporting country. </t>
  </si>
  <si>
    <t>Geo 3</t>
  </si>
  <si>
    <t>Geo 4</t>
  </si>
  <si>
    <t xml:space="preserve">This means different breakdowns for domestic, cross-border within the EEA and rest of the world outside the EEA. </t>
  </si>
  <si>
    <t>Geo 6</t>
  </si>
  <si>
    <t>Single country breakdown for all countries  (Single country breakdown according to the ISO 3166 country codes standard.)</t>
  </si>
  <si>
    <t>This means different breakdowns for domestic and single country breakdowns for all countries in the world according to the ISO 3166-1 standard.</t>
  </si>
  <si>
    <t>initiated at a physical EFTPOS</t>
  </si>
  <si>
    <t xml:space="preserve">Electronically initiated card-based payment transaction at a physical POS allowing electronic fund transfers. This item typically includes card-based payment transactions through an electronic funds transfer at point of sale (EFTPOS) terminal at a merchant’s location. It does not include e-money payment transactions.   </t>
  </si>
  <si>
    <t>initiated at an ATM</t>
  </si>
  <si>
    <t>Initiated by PISP</t>
  </si>
  <si>
    <t>Initiated electronically</t>
  </si>
  <si>
    <t>Credit transfer: Credit transfers initiated electronically is the sum of those initiated in a file/batch and those initiated on a single payment basis. Credit transfers initiated through a CD/diskette should be included in the sub-category initiated electronically. In addition, credit transfers initiated electronically are the sum of those initiated remotely and those initiated non-remotely. Credit transfers initiated electronically and via remote payment channels are, for example those via online banking or mobile payment services. Credit transfers initiated electronically and non-remotely refer to transfers initiated via ATM or other terminals.</t>
  </si>
  <si>
    <t>Initiated in a file/batch</t>
  </si>
  <si>
    <t>Initiated in paper-based form</t>
  </si>
  <si>
    <t>A credit transfers initiated by the payer in paper-based form or by instructing staff at a branch over the counter (OTC) to initiate a credit transfer and any other credit transfer, which requires manual processing.</t>
  </si>
  <si>
    <t>initiated non-electronically</t>
  </si>
  <si>
    <t>Ane</t>
  </si>
  <si>
    <t>Initiated on a single payment basis</t>
  </si>
  <si>
    <t>Credit transfer: An electronically initiated credit transfer that is initiated independently, i.e. that is not part of a group of credit transfers jointly initiated.
Direct debit: An electronically initiated direct debit that is independent from other direct debits, i.e. that is not part of a group of direct debits jointly initiated.</t>
  </si>
  <si>
    <t>Instant</t>
  </si>
  <si>
    <t>Issuance of a payment order by the fraudster</t>
  </si>
  <si>
    <t xml:space="preserve">‘Issuance of a payment order by the fraudster’ means ‘issuance of a payment order by the fraudster’ as defined in  Guideline 1.6, d) of the EBA Guidelines on reporting requirements for fraud data under Article 96(6) PSD2 (EBA-GL-2018-05). </t>
  </si>
  <si>
    <t>Issuer</t>
  </si>
  <si>
    <t xml:space="preserve">‘Card issuer’ means ‘issuer’ as defined in Article 2(2) of Regulation (EU) 2015/751. </t>
  </si>
  <si>
    <t>Lost or Stolen card</t>
  </si>
  <si>
    <t>A fraud type that occurs with the use of a lost or stolen card-based payment instrument (debit, delayed debit or credit card) without the actual, implied, or apparent authority of the cardholder.</t>
  </si>
  <si>
    <t>Lost or stolen e-money card</t>
  </si>
  <si>
    <t xml:space="preserve">A fraud type that occurs with the use of a lost or stolen e-money without the actual, implied, or apparent authority of the cardholder </t>
  </si>
  <si>
    <t>Payment transactions for which the exception in Article 16 of the Commission Delegated Regulation (EU) 2018/389 applies are to be reported under ‘low value’.</t>
  </si>
  <si>
    <t>Manipulation of the payer</t>
  </si>
  <si>
    <t xml:space="preserve">‘Manipulation of the payer’ means ‘manipulation of the payer’ as defined in Guideline 1.1, b) of the EBA Guidelines on reporting requirements for fraud data under Article 96(6) of Directive (EU) 2015/2366 </t>
  </si>
  <si>
    <t>MCC</t>
  </si>
  <si>
    <t>A four-digit number (listed in ISO 18245) for retail financial services. MCC is used to classify the business by the type of goods or services it provides.</t>
  </si>
  <si>
    <t>Merchant initiated transaction (MIT)</t>
  </si>
  <si>
    <t>‘Merchant initiated transaction’ means ‘Merchant initiated transaction’ as defined in Annex II, Part C, footnote 4 of the EBA Guidelines amending the EBA Guidelines on reporting requirements for fraud data under Article 96(6) of Directive (EU) 2015/2366 (EBA/GL/2020/01).</t>
  </si>
  <si>
    <t>Mobile payment solution</t>
  </si>
  <si>
    <t>A solution used to initiate payments for which the payments data and the payment instructions are transmitted and/or confirmed via mobile communication and data transmission technology through a mobile device. This category includes digital wallets and other mobile payment solutions used to initiate P2P (person-to-person) and/or C2B (consumer-to-business) transactions, i.e. credit transfers, card payments and/or e-money transactions.</t>
  </si>
  <si>
    <t>Money remittances</t>
  </si>
  <si>
    <t xml:space="preserve">‘Money remittance’ means ‘money remittance’ as defined in Article 4(22) of Directive (EU) 2015/2366. </t>
  </si>
  <si>
    <t>Near Field Communication (NFC) payments</t>
  </si>
  <si>
    <t>A contactless payment using  NFC technology (ISO/IEC 18092).</t>
  </si>
  <si>
    <t>Non-remote payment transaction</t>
  </si>
  <si>
    <t>Remote / non-remote initiation</t>
  </si>
  <si>
    <t xml:space="preserve">Includes transactions at terminals including using contactless technology. Credit transfers, card-based payment transactions and e-money payment transactions are further broken down into remote and non-remote payment channels. </t>
  </si>
  <si>
    <t>non-SEPA scheme</t>
  </si>
  <si>
    <t>Payment Scheme</t>
  </si>
  <si>
    <t>Customer payments (non-MFIs) sent or received through TARGET2-system should be reported in the relevant fields for transactions processed by non-SEPA schemes in Table 4.</t>
  </si>
  <si>
    <t>Online banking based credit transfers</t>
  </si>
  <si>
    <t>Credit transfer initiated through online banking and payment initiation services</t>
  </si>
  <si>
    <t>Other (fraud type)</t>
  </si>
  <si>
    <t>Other (initiation channel)</t>
  </si>
  <si>
    <t>Other (liability bearer)</t>
  </si>
  <si>
    <t>Liability bearer</t>
  </si>
  <si>
    <t>Other than the reporting PSP or the PSU of the reporting PSP bears the loss</t>
  </si>
  <si>
    <t>Other (reason for non-SCA)</t>
  </si>
  <si>
    <t xml:space="preserve">Other reason for non-SCA. Other applies for card-based payment transactions and e-money payment transactions for which none of the remaining reasons apply. Examples of such transactions are
• A card-based payment transaction where the geographical area is cross-border outside the EEA and the non-EEA counterparty involved does not support SCA and is not subject to PSD2 requirements (so called “one leg-in transactions”)
• Additional time is provided for a PSP to migrate to SCA compliant procedures
</t>
  </si>
  <si>
    <t>Other (than credits to and debits from the accounts by simple book entry)</t>
  </si>
  <si>
    <t>Other than credits to and debits from the accounts by simple book entry</t>
  </si>
  <si>
    <t>Other payment services</t>
  </si>
  <si>
    <t>Any payment service within the scope of Directive (EU) 2015/2366 but which cannot be included in any of the other categories of payment service in Annex III.</t>
  </si>
  <si>
    <t>Other PCS</t>
  </si>
  <si>
    <t xml:space="preserve">Any service outside the scope of Directive (EU) 2015/2366 and which cannot be included in any of the other categories of payment service in Annex III. </t>
  </si>
  <si>
    <t>A solution where payments are initiated, confirmed and/or received by an individual to another individual (P2P), via a mobile device. The payment instruction and other payment data are transmitted and/or confirmed with a mobile device. A distinctive mobile payment identifier, such as mobile telephone number or e-mail address, can be used as a proxy to identify the payer and/or payee. P2P mobile payment solutions can be used to initiate credit transfers, card payments and/or e-money transactions.</t>
  </si>
  <si>
    <t>Payment card schemes (PCS)</t>
  </si>
  <si>
    <t>‘Payment card scheme’ means ‘payment card scheme’ as defined in Article 2(16) of Regulation (EU) 2015/751.</t>
  </si>
  <si>
    <t>‘Payment initiation service provider (PISP)’ means ‘payment initiation service provider’ as defined in Article 4(18) of Directive (EU) 2015/2366.</t>
  </si>
  <si>
    <t>Payment initiation services</t>
  </si>
  <si>
    <t xml:space="preserve">‘Payment initiation service’ means ‘payment initiation service’ as defined in Article 4 of Directive (EU) 2015/2366 </t>
  </si>
  <si>
    <t>Payment schemes</t>
  </si>
  <si>
    <t xml:space="preserve">Payment scheme' means a set of formal, standardised and common rules enabling the transfer of value between end-users by means of electronic payment instruments. It is managed by a governance body. </t>
  </si>
  <si>
    <t>Payment service providers</t>
  </si>
  <si>
    <t>Art. 1(b)</t>
  </si>
  <si>
    <t>Payment system operator</t>
  </si>
  <si>
    <t>‘PSO’ means a legal entity that is legally responsible for operating a payment system.</t>
  </si>
  <si>
    <t xml:space="preserve">Payment transactions for which the exception in Article 15 of the Commission Delegated Regulation (EU) 2018/389 applies </t>
  </si>
  <si>
    <t>Payment to self applies for credit transfers and e-money payment transactions.</t>
  </si>
  <si>
    <t>PCS MASTERCARD</t>
  </si>
  <si>
    <t>PCS VISA</t>
  </si>
  <si>
    <t>A physical device used at a retail location to capture payment information typically electronically, for consumer-to-business transactions (purchases).The payment information is captured either manually on paper vouchers or by electronic means, i.e. EFTPOS.</t>
  </si>
  <si>
    <t>Prepaid cards</t>
  </si>
  <si>
    <t>PSU of the reporting PSP</t>
  </si>
  <si>
    <t xml:space="preserve">For credit transfers sent, card-based payment transactions sent and acquired and e-money payment transactions sent, transactions authenticated via non-strong customer authentication are further broken down into the reason why SCA has not been applied. The reasons for non-SCA are however not reported with a scheme breakdown. </t>
  </si>
  <si>
    <t>Recurring transaction</t>
  </si>
  <si>
    <t>Payment transactions for which the exception in Article 14 of the Commission Delegated Regulation (EU) 2018/389.</t>
  </si>
  <si>
    <t>Recurring transaction applies for credit transfers, card-based payment transactions, and e-money payment transactions.</t>
  </si>
  <si>
    <t>Remote payment transaction</t>
  </si>
  <si>
    <t>‘Remote payment transaction’ means ‘remote payment transaction’ as defined in Article 4(6) of Directive (EU) 2015/2366.</t>
  </si>
  <si>
    <t xml:space="preserve">Credit transfers, card-based payment transactions and e-money payment transactions are further broken down into remote and non-remote payment channels. </t>
  </si>
  <si>
    <t>Art. 1(a)</t>
  </si>
  <si>
    <t>Reporting population</t>
  </si>
  <si>
    <t>Art. 2</t>
  </si>
  <si>
    <t>Reporting PSP</t>
  </si>
  <si>
    <t>Payment transactions for which the exception in Article 17 of the Commission Delegated Regulation (EU) 2018/389 applies.</t>
  </si>
  <si>
    <t>Secure corporate payment processes and protocols applies for credit transfers, card-based payment transactions, and e-money payment transactions.</t>
  </si>
  <si>
    <t>SEPA CT inst scheme</t>
  </si>
  <si>
    <t>SEPA CT scheme</t>
  </si>
  <si>
    <t xml:space="preserve">SEPA CT scheme’ means SEPA Credit Transfer Scheme. The payment scheme for making credit transfers across SEPA, as set out in the SEPA Credit Transfer Scheme Rulebook as stipulated in Regulation (EU) No 260/2012. </t>
  </si>
  <si>
    <t>SEPA Direct Debit B2B scheme</t>
  </si>
  <si>
    <t>SEPA Direct Debit Core scheme</t>
  </si>
  <si>
    <t>The payments scheme for making direct debits across SEPA, as set out in the SEPA Core Direct Debit Scheme Rulebook.</t>
  </si>
  <si>
    <t>Single Euro Payments Area (SEPA)</t>
  </si>
  <si>
    <t>SEPA is a European Union (EU) payments integration initiative aimed at harmonising electronic euro payments in Europe. It relates to a common set of specified technical and business requirements for payment transactions in euro as set out in the Regulation (EU) 260/2012.</t>
  </si>
  <si>
    <t>Terminals provided by resident PSPs</t>
  </si>
  <si>
    <t>Total number of cards (irrespective of the number of functions on the card)</t>
  </si>
  <si>
    <t>Total number of cards in circulation. These may have one or more of the following functions: cash, debit, credit, delayed debit or e-money.</t>
  </si>
  <si>
    <t xml:space="preserve">All valid cards in circulation are included, irrespective of when they were issued or how actively they are used. A card is included from the moment it is posted to the cardholder by the card issuer, irrespective of whether the cardholder has activated it. Cards which are posted to the cardholder for the purpose of a regular re-issue on account of the card’s limited period of validity are not counted – i.e. the card is only counted the first time it is issued. Virtual cards are included and each card reported represents an individual card number. A plastic card with two functions is included as two separate cards in the total. </t>
  </si>
  <si>
    <t>Total payment transactions involving non-MFIs [sent]</t>
  </si>
  <si>
    <t>Transaction received</t>
  </si>
  <si>
    <t>Payment transactions for which the exception in Article 18 of the Commission Delegated Regulation (EU) 2018/389 applies.</t>
  </si>
  <si>
    <t>Transaction Risk Analysis applies for credit transfers, card-based payment transactions, and e-money payment transactions.</t>
  </si>
  <si>
    <t>Transaction sent</t>
  </si>
  <si>
    <t xml:space="preserve">Payment transactions for which the exception in Article 13 of the Commission Delegated Regulation (EU) 2018/389 applies. </t>
  </si>
  <si>
    <t>Trusted beneficiaries applies for credit transfers, card-based payment transactions, and e-money payment transactions</t>
  </si>
  <si>
    <t xml:space="preserve">Payment transactions for which the exception in Article 12 of the Commission Delegated Regulation (EU) 2018/389 applies. </t>
  </si>
  <si>
    <t>Unattended terminal for transport fares and parking fees applies for credit transfers, card-based payment transactions, and e-money payment transactions.</t>
  </si>
  <si>
    <t>Unauthorized e-money account transaction</t>
  </si>
  <si>
    <t>Unauthorised e-money account transaction’ means an ‘unauthorised payment transaction’ as defined above in respect to the use of an e-money account.</t>
  </si>
  <si>
    <t>Unauthorized payment transaction</t>
  </si>
  <si>
    <t>‘Unauthorised payment transaction’ means ‘unauthorised payment transaction’ as defined in Guideline 1.1. a. of the EBA Guidelines on reporting requirements for fraud data under Article 96(6) PSD2 (EBA-GL-2018-05).</t>
  </si>
  <si>
    <t>with cards on which e-money can be stored directly</t>
  </si>
  <si>
    <t>A transaction whereby the holder of a card with an e-money function transfers e-money value from its balance stored on the card to the balance of the beneficiary.</t>
  </si>
  <si>
    <t>with e-money accounts</t>
  </si>
  <si>
    <t>A transaction whereby funds are transferred from the e-money account of a payer, to the account of a payee. See the definition of ‘e-money accounts’.</t>
  </si>
  <si>
    <t>Sheet name</t>
  </si>
  <si>
    <t>Electronic file/batch</t>
  </si>
  <si>
    <t>ECOM</t>
  </si>
  <si>
    <t>ELFB</t>
  </si>
  <si>
    <t>PAPR</t>
  </si>
  <si>
    <t>P2PM</t>
  </si>
  <si>
    <t>OMPS</t>
  </si>
  <si>
    <t>TIPS</t>
  </si>
  <si>
    <t>Initiation sub-channel</t>
  </si>
  <si>
    <t>Initiator type</t>
  </si>
  <si>
    <t>MFIs:</t>
  </si>
  <si>
    <t>OTHI</t>
  </si>
  <si>
    <t>Payment systems:</t>
  </si>
  <si>
    <t>HSNP</t>
  </si>
  <si>
    <t>CORP</t>
  </si>
  <si>
    <t xml:space="preserve">On this sheet we explain important conceptual changes between the V-reports (CDDP) layout 5 (valid until December 2021) </t>
  </si>
  <si>
    <t>and layout 6 (valid from January 2022 onwards).</t>
  </si>
  <si>
    <t>For credit transfers and direct debits, we added several client categories, including e-money institutions, payment institutions, households and NPISHs, own account operations, and non-financial corporations.</t>
  </si>
  <si>
    <t>Intermediation</t>
  </si>
  <si>
    <t>Metric</t>
  </si>
  <si>
    <t>Value</t>
  </si>
  <si>
    <t>The reporting PSP</t>
  </si>
  <si>
    <t>The PSU of the reporting PSP</t>
  </si>
  <si>
    <t xml:space="preserve">Credit transfer </t>
  </si>
  <si>
    <t>Country of creditor's PSP</t>
  </si>
  <si>
    <t>Country of debtor's PSP</t>
  </si>
  <si>
    <t>Number of accounts</t>
  </si>
  <si>
    <t xml:space="preserve">Payment instrument type </t>
  </si>
  <si>
    <t>SEPA Direct Debit Core</t>
  </si>
  <si>
    <t>SEPA Direct Debit B2B</t>
  </si>
  <si>
    <t>Consent form</t>
  </si>
  <si>
    <t>Consent given via electronic mandate</t>
  </si>
  <si>
    <t>ELSI</t>
  </si>
  <si>
    <t>The reporting agents no longer need to submit empty tables that are not applicable. It is enough to submit only filled applicable tables.</t>
  </si>
  <si>
    <t>Direct debits (creditor's PSP)</t>
  </si>
  <si>
    <t>ELMA</t>
  </si>
  <si>
    <t>NOAP</t>
  </si>
  <si>
    <t>EMON</t>
  </si>
  <si>
    <t>CARE</t>
  </si>
  <si>
    <t>DIDE</t>
  </si>
  <si>
    <t>BPSP</t>
  </si>
  <si>
    <t>BPSU</t>
  </si>
  <si>
    <t>Customer credit transfers sent (debtor's PSP)</t>
  </si>
  <si>
    <t>CAWT</t>
  </si>
  <si>
    <t xml:space="preserve">Settlement channel </t>
  </si>
  <si>
    <t>CRTR</t>
  </si>
  <si>
    <t>Credit transfers:</t>
  </si>
  <si>
    <t>LU</t>
  </si>
  <si>
    <t>Luxembourg</t>
  </si>
  <si>
    <t xml:space="preserve">Interbank credit transfer </t>
  </si>
  <si>
    <t xml:space="preserve">Customer credit transfer </t>
  </si>
  <si>
    <t>CUCT</t>
  </si>
  <si>
    <t>IBCT</t>
  </si>
  <si>
    <t xml:space="preserve">Direct debit </t>
  </si>
  <si>
    <t>Debtor's PSP</t>
  </si>
  <si>
    <t>Creditor's PSP</t>
  </si>
  <si>
    <t>DPSP</t>
  </si>
  <si>
    <t>CPSP</t>
  </si>
  <si>
    <t>CREC</t>
  </si>
  <si>
    <t>CRET</t>
  </si>
  <si>
    <t>DRET</t>
  </si>
  <si>
    <t>DREJ</t>
  </si>
  <si>
    <t>DREV</t>
  </si>
  <si>
    <t>DREF</t>
  </si>
  <si>
    <t>DREQ</t>
  </si>
  <si>
    <t xml:space="preserve">Operation type </t>
  </si>
  <si>
    <t>Cash withdrawal</t>
  </si>
  <si>
    <t>CWIT</t>
  </si>
  <si>
    <t>Cash deposit</t>
  </si>
  <si>
    <t>CDEP</t>
  </si>
  <si>
    <t>Debit book entry</t>
  </si>
  <si>
    <t>Credit book entry</t>
  </si>
  <si>
    <t>Accounts that were accessed more than once during the reference period are counted only once.</t>
  </si>
  <si>
    <t>ERT1</t>
  </si>
  <si>
    <t xml:space="preserve">Debit card </t>
  </si>
  <si>
    <t>DECA</t>
  </si>
  <si>
    <t>DDCA</t>
  </si>
  <si>
    <t>CRCA</t>
  </si>
  <si>
    <t>Mixed card (debit+credit)</t>
  </si>
  <si>
    <t>PRCA</t>
  </si>
  <si>
    <t>Payment card scheme</t>
  </si>
  <si>
    <t>China UnionPay</t>
  </si>
  <si>
    <t>Diner's club</t>
  </si>
  <si>
    <t>Japan Credit Bureau (JCB)</t>
  </si>
  <si>
    <t>VOCL</t>
  </si>
  <si>
    <t>VOTI</t>
  </si>
  <si>
    <t>Float (balance)</t>
  </si>
  <si>
    <t>FLOA</t>
  </si>
  <si>
    <t>Number of cards issued for 3rd parties</t>
  </si>
  <si>
    <t>Contactless function</t>
  </si>
  <si>
    <t>Card with a contactless function</t>
  </si>
  <si>
    <t>Card without a contactless function</t>
  </si>
  <si>
    <t>Cards with an e-money function:</t>
  </si>
  <si>
    <t>E1CA</t>
  </si>
  <si>
    <t>E2CA</t>
  </si>
  <si>
    <t>ATMs, of which:</t>
  </si>
  <si>
    <t>ATMW</t>
  </si>
  <si>
    <t>ATMD</t>
  </si>
  <si>
    <t>POS, of which:</t>
  </si>
  <si>
    <t>ATOT</t>
  </si>
  <si>
    <t>ACTR</t>
  </si>
  <si>
    <t>AWIT</t>
  </si>
  <si>
    <t>ACLS</t>
  </si>
  <si>
    <t>PTOT</t>
  </si>
  <si>
    <t>PCLS</t>
  </si>
  <si>
    <t>PEMO</t>
  </si>
  <si>
    <t>The "of which" subcategories are NOT mutually exclusive. A terminal might fall in more than one "of which" category.</t>
  </si>
  <si>
    <t>Consequently, the sum of "of which" categories might be larger than the total number of terminals.</t>
  </si>
  <si>
    <t>Other terminals</t>
  </si>
  <si>
    <t>E-money card terminals, total</t>
  </si>
  <si>
    <t>ETOT</t>
  </si>
  <si>
    <t>POS terminals, total</t>
  </si>
  <si>
    <t>ATMs, total</t>
  </si>
  <si>
    <t>E-money card terminals, of which:</t>
  </si>
  <si>
    <t>ELDN</t>
  </si>
  <si>
    <t>ETRM</t>
  </si>
  <si>
    <t>APRE</t>
  </si>
  <si>
    <t>SALE</t>
  </si>
  <si>
    <t>Cash advance at a POS terminal</t>
  </si>
  <si>
    <t>E-commerce</t>
  </si>
  <si>
    <t>Point of sale (POS)</t>
  </si>
  <si>
    <t>TATM</t>
  </si>
  <si>
    <t>CADV</t>
  </si>
  <si>
    <t xml:space="preserve">Initiation sub-channel </t>
  </si>
  <si>
    <t>Number of transactions</t>
  </si>
  <si>
    <t>CNFC</t>
  </si>
  <si>
    <t>[MCC]</t>
  </si>
  <si>
    <t>Remote:</t>
  </si>
  <si>
    <t xml:space="preserve">Activity level </t>
  </si>
  <si>
    <t xml:space="preserve">Country of residence of account holder </t>
  </si>
  <si>
    <t>Country of residence of account holder</t>
  </si>
  <si>
    <t>Funding</t>
  </si>
  <si>
    <t>Merchant funding</t>
  </si>
  <si>
    <t xml:space="preserve">Merchant withdrawal </t>
  </si>
  <si>
    <t>FUND</t>
  </si>
  <si>
    <t>WITH</t>
  </si>
  <si>
    <t>Underlying payment instrument</t>
  </si>
  <si>
    <t>Payment card</t>
  </si>
  <si>
    <t>Country of debtor EMS</t>
  </si>
  <si>
    <t>Country of creditor EMS</t>
  </si>
  <si>
    <t>Country of debtor residence</t>
  </si>
  <si>
    <t>Country of creditor residence</t>
  </si>
  <si>
    <t>PURC</t>
  </si>
  <si>
    <t>PEER</t>
  </si>
  <si>
    <t>Peer-to-peer (P2P)</t>
  </si>
  <si>
    <t>╠╗ Non-remote only:</t>
  </si>
  <si>
    <t>╠╗ Remote or non-remote:</t>
  </si>
  <si>
    <t>╠╗ Remote only:</t>
  </si>
  <si>
    <t>E-money card</t>
  </si>
  <si>
    <t>Operations related to:</t>
  </si>
  <si>
    <t>ASPS</t>
  </si>
  <si>
    <t>Non-SCA used</t>
  </si>
  <si>
    <t>Country of ASPSP</t>
  </si>
  <si>
    <t>Type of PSP</t>
  </si>
  <si>
    <t>AISP</t>
  </si>
  <si>
    <t>Account servicing payment service provider (ASPSP)</t>
  </si>
  <si>
    <t>Account information service provider (AISP)</t>
  </si>
  <si>
    <t>Two types of PSPs report in this table:</t>
  </si>
  <si>
    <t>1) PSPs located in LU acting in their capacity as account information providers (AISPs). These PSPs report the number of accessed accounts per country of the ASPSP that services the accessed account.</t>
  </si>
  <si>
    <t>ASPSP = account servicing payment service provider, i.e. the PSP whose accounts are being accessed.</t>
  </si>
  <si>
    <t>Both PSPs in point 1) and 2) report the number of unique accounts that were accessed at least once during the reference period (i.e. during the reference month).</t>
  </si>
  <si>
    <t>Cheque</t>
  </si>
  <si>
    <t>Debtor's PSP only:</t>
  </si>
  <si>
    <t>POST</t>
  </si>
  <si>
    <t>Bilateral exchange</t>
  </si>
  <si>
    <t>MNGR</t>
  </si>
  <si>
    <t>WSTU</t>
  </si>
  <si>
    <t>BILX</t>
  </si>
  <si>
    <t>2) ASPSPs located in LU whose accounts were accessed by a third-party AISP. These ASPSPs report the number of accessed accounts for each country of the requesting AISP.</t>
  </si>
  <si>
    <t>The PSPs in point 1) may include credit institutions, e-money institutions, payment institutions, under the condition that they offer account information services.</t>
  </si>
  <si>
    <t>Customer</t>
  </si>
  <si>
    <t>CUST</t>
  </si>
  <si>
    <t>For own account operations, the initiator type = Customer.</t>
  </si>
  <si>
    <t>Payment scheme</t>
  </si>
  <si>
    <t>SEPA Instant Credit Transfer</t>
  </si>
  <si>
    <t>NSEP</t>
  </si>
  <si>
    <t>Consent given in other forms / unknown</t>
  </si>
  <si>
    <t>Role of reporting PSP</t>
  </si>
  <si>
    <t>Reporting PSP = debtor's PSP:</t>
  </si>
  <si>
    <t>Reporting PSP = creditor's PSP:</t>
  </si>
  <si>
    <t>Customer type</t>
  </si>
  <si>
    <t>Customer category</t>
  </si>
  <si>
    <t>VISA - Vpay</t>
  </si>
  <si>
    <t>The payment card schemes are exclusive. One payment card cannot be reported in more than one scheme.</t>
  </si>
  <si>
    <t>E2CS</t>
  </si>
  <si>
    <t>Non-remote:</t>
  </si>
  <si>
    <t>Proprietary</t>
  </si>
  <si>
    <t xml:space="preserve">Currency of account </t>
  </si>
  <si>
    <t>Funding + merchant funding:</t>
  </si>
  <si>
    <t>Withdrawal + merchant withdrawal:</t>
  </si>
  <si>
    <t>Software</t>
  </si>
  <si>
    <t>SFTW</t>
  </si>
  <si>
    <t>EMCA</t>
  </si>
  <si>
    <t>Book entry type</t>
  </si>
  <si>
    <t>E-money payment transactions (debtor's PSP)</t>
  </si>
  <si>
    <t>Cash withdrawals using cards issued by resident PSP (debtor's PSP)</t>
  </si>
  <si>
    <t>╠╗ Instant payment systems:</t>
  </si>
  <si>
    <t>╠╗Remote or non-remote:</t>
  </si>
  <si>
    <t>╠╗Non-remote only:</t>
  </si>
  <si>
    <t>╠╗Remote only:</t>
  </si>
  <si>
    <t>INTR</t>
  </si>
  <si>
    <t>SECB</t>
  </si>
  <si>
    <t>FEES</t>
  </si>
  <si>
    <t>LOAN</t>
  </si>
  <si>
    <t>TAXS</t>
  </si>
  <si>
    <t xml:space="preserve">Customer category </t>
  </si>
  <si>
    <t xml:space="preserve">For debtor's PSP: </t>
  </si>
  <si>
    <t xml:space="preserve">For creditor's PSP: </t>
  </si>
  <si>
    <t>Country of AISP</t>
  </si>
  <si>
    <t xml:space="preserve">For ASPSP: </t>
  </si>
  <si>
    <t xml:space="preserve">For AISP: </t>
  </si>
  <si>
    <t>Examples:</t>
  </si>
  <si>
    <t>Only payment institutions (PIs) and e-money institutions (ELMIs) providing payment services without providing payment accounts report in this table.</t>
  </si>
  <si>
    <t>E-money</t>
  </si>
  <si>
    <t>Concerns</t>
  </si>
  <si>
    <t>customer credit transfers sent</t>
  </si>
  <si>
    <t xml:space="preserve">credit transfers </t>
  </si>
  <si>
    <t>The documentation is now written in English only. However, we intend to provide French and German translations of the concepts mentioned in the guidance note for every concept in the sheet "Concepts".</t>
  </si>
  <si>
    <t>The numbering of the tables has changed. From now on, the new tables have only one subtable, and can be thus referred to - for instance - as V1.20, V1.21, and not as V1.20.1 or V1.21.1.</t>
  </si>
  <si>
    <t>2020-12-04 meeting</t>
  </si>
  <si>
    <t>Proposed structure</t>
  </si>
  <si>
    <t>Comptes de paiements (sans ME)</t>
  </si>
  <si>
    <t>Comptes de ME</t>
  </si>
  <si>
    <t>Cartes en circulation (émission)</t>
  </si>
  <si>
    <t>Cartes en circulation (distribution)</t>
  </si>
  <si>
    <t>Terminaux de paiement</t>
  </si>
  <si>
    <t>Digital wallets</t>
  </si>
  <si>
    <t>Intermédiation: virement clientèle / interbancaire, domiciliation clientèle / Interbancaire (?)</t>
  </si>
  <si>
    <t>Clientèle - acquisition d'instruments de paiements:</t>
  </si>
  <si>
    <t>Virement (émis)</t>
  </si>
  <si>
    <t>Carte de paiement (émission)</t>
  </si>
  <si>
    <t>Domiciliation (volet débiteur)</t>
  </si>
  <si>
    <t>Virement (reçu)</t>
  </si>
  <si>
    <t>Domiciliation (volet créancier)</t>
  </si>
  <si>
    <t>Chèque (reçu)</t>
  </si>
  <si>
    <t>Monnaie électronique (reçu)</t>
  </si>
  <si>
    <t xml:space="preserve">Clientèle - Initiation de paiements (PIS) </t>
  </si>
  <si>
    <t>Comptes de cryptomonnaie ?</t>
  </si>
  <si>
    <t>Cryptomonnaie (reçu)?</t>
  </si>
  <si>
    <t>Cryptomonnaie (émis)?</t>
  </si>
  <si>
    <t>Cartes prépayées</t>
  </si>
  <si>
    <t xml:space="preserve">Clientèle - (dé)chargements: </t>
  </si>
  <si>
    <t>Monnaie électronique (hors cartes prépayées)</t>
  </si>
  <si>
    <t>Chèque (émis) =&gt; implique de conserver deux tableaux distincts émis/reçus</t>
  </si>
  <si>
    <t>Monnaie électronique (émis) =&gt; implique de créer deux tableaux (émis+reçu) au lieu d'un actuellement</t>
  </si>
  <si>
    <t>1. TRANSACTIONS</t>
  </si>
  <si>
    <t>2. STOCKS</t>
  </si>
  <si>
    <t>1.1.1. CLIENTELE AVEC FOURNITURE DE COMPTE DE PAIEMENT</t>
  </si>
  <si>
    <t>1.1.2. CLIENTELE SANS FOURNITURE DE COMPTE DE PAIEMENT</t>
  </si>
  <si>
    <t xml:space="preserve">     1.3. INTERMEDIATION</t>
  </si>
  <si>
    <t>** transaction interbancaire = les deux contreparties sont des banques. Les opérations de trésorerie, opérations de netting, réservce du déclarants sont reportées ici également (besoin d'une définition claire)</t>
  </si>
  <si>
    <t>* transactions de clientèle = une contrepartie au moins de la transaction est non-FMI (cohérence BCL avec BCE, ABE)</t>
  </si>
  <si>
    <t>Clientèle - R-transactions (1 seul tableau)</t>
  </si>
  <si>
    <t>Clientèle - Book entries (1 seul tableau)</t>
  </si>
  <si>
    <t>Clientèle - émission d'instruments de paiements:</t>
  </si>
  <si>
    <t xml:space="preserve">     1.1. CLIENTELE*</t>
  </si>
  <si>
    <t xml:space="preserve">     1.2. INTERBANCAIRE**</t>
  </si>
  <si>
    <t>Interbancaire - virement + domiciliation (1 seul tableau)</t>
  </si>
  <si>
    <t>Clients (pour les PI/ELMI n'offrant pas de comptes de paiements)</t>
  </si>
  <si>
    <t>Clientèle - Acquisition de transactions cartes (ex: SIX)</t>
  </si>
  <si>
    <t>Acquisition PI/ ELMI (anc. V1.15 mais seul détail demandé: les instruments de paiements sous-jacents)</t>
  </si>
  <si>
    <t>Emission PI/ ELMI (anc. V1.15 mais seul détail demandé: instruments de paiements)?</t>
  </si>
  <si>
    <t>Carte de paiement (acquisition) (ex: certaines banques, pas SIX)</t>
  </si>
  <si>
    <t>Clientèle - Acquisition de transactions wallets ( ex: SIX/ALIPAY wallets)</t>
  </si>
  <si>
    <t>One-off card</t>
  </si>
  <si>
    <t>MXCA</t>
  </si>
  <si>
    <t>ONCA</t>
  </si>
  <si>
    <t>Concept</t>
  </si>
  <si>
    <t>Concept type</t>
  </si>
  <si>
    <t>Definition</t>
  </si>
  <si>
    <t>Additional explanation</t>
  </si>
  <si>
    <t>Credit institution</t>
  </si>
  <si>
    <t>Monetary fund</t>
  </si>
  <si>
    <t xml:space="preserve">Electronic money institution </t>
  </si>
  <si>
    <t>Non-monetary fund</t>
  </si>
  <si>
    <t>Payment institution</t>
  </si>
  <si>
    <t>Households and NPISHs</t>
  </si>
  <si>
    <t>Non-financial corporations</t>
  </si>
  <si>
    <t>Payment account</t>
  </si>
  <si>
    <t>Technical account</t>
  </si>
  <si>
    <t>TCAC</t>
  </si>
  <si>
    <t>PMAC</t>
  </si>
  <si>
    <t>Active within last 12 months</t>
  </si>
  <si>
    <t>Inactive within last 12 months</t>
  </si>
  <si>
    <t xml:space="preserve">Funding related to transactions with cards which give access to e-money stored on a software based e-money account </t>
  </si>
  <si>
    <t xml:space="preserve">Withdrawal related to transactions with cards which give access to e-money stored on a software based e-money account </t>
  </si>
  <si>
    <t>FUNC</t>
  </si>
  <si>
    <t>WITC</t>
  </si>
  <si>
    <t>FUNM</t>
  </si>
  <si>
    <t>WITM</t>
  </si>
  <si>
    <t>PMIN</t>
  </si>
  <si>
    <t>Several sub-tables have been merged in one table. Ex: all the R-transactions in one table; all the interbank transactions, all the intermediation.</t>
  </si>
  <si>
    <t>credit transfers and direct debits</t>
  </si>
  <si>
    <t>Dimension</t>
  </si>
  <si>
    <t>Global change</t>
  </si>
  <si>
    <t xml:space="preserve">Indirect participation is no longer reported in the "intermediated credit transfers", but instead in "customer credit transfers", with the name of the payment system in question (e.g. STEP2). </t>
  </si>
  <si>
    <t>The value "NOLO" (nostro-loro) is no longer reported separately. Instead, these are transactions are now reported with settlement channel = PSP LU or PSP non-LU.</t>
  </si>
  <si>
    <t>The following instant payment systems were added: TIPS, RT1, other instant.</t>
  </si>
  <si>
    <t>Previous table</t>
  </si>
  <si>
    <t>New table</t>
  </si>
  <si>
    <t>V1.1
V1.3</t>
  </si>
  <si>
    <t>V1.1</t>
  </si>
  <si>
    <t xml:space="preserve">Intermediated credit transfers </t>
  </si>
  <si>
    <t>V1.1.3
V1.2.3</t>
  </si>
  <si>
    <t xml:space="preserve">The dimension Payment scheme was added, with possible values SEPA credit transfer, SEPA instant credit transfer, non-SEPA scheme, and not applicable. </t>
  </si>
  <si>
    <t>The former dimension SEPA capable was removed.</t>
  </si>
  <si>
    <t xml:space="preserve">The dimension Initiation mode was renamed to initiation channel. </t>
  </si>
  <si>
    <t>The following initiation channels were added: ATM or other PSP terminal, Mobile payment solution (MPS), with possible subcategories P2P MPS, POS MPS, and Other MPS.</t>
  </si>
  <si>
    <t xml:space="preserve">initiation sub-channel </t>
  </si>
  <si>
    <t>New dimension was added, with possible values remote, non-remote, and paper.</t>
  </si>
  <si>
    <t xml:space="preserve">Pavel proposition: </t>
  </si>
  <si>
    <t>MSTR</t>
  </si>
  <si>
    <t>PMCA</t>
  </si>
  <si>
    <t>Credit transfer</t>
  </si>
  <si>
    <t>Direct debit</t>
  </si>
  <si>
    <t>RFND</t>
  </si>
  <si>
    <t>OCLS</t>
  </si>
  <si>
    <t>ACT1</t>
  </si>
  <si>
    <t>ACT0</t>
  </si>
  <si>
    <t>REM1</t>
  </si>
  <si>
    <t>REM0</t>
  </si>
  <si>
    <t>CTIN</t>
  </si>
  <si>
    <t>CTOT</t>
  </si>
  <si>
    <t>SCA0</t>
  </si>
  <si>
    <t>SCA1</t>
  </si>
  <si>
    <t>CAIS</t>
  </si>
  <si>
    <t>Transactions</t>
  </si>
  <si>
    <t>Stocks</t>
  </si>
  <si>
    <t>SCFU</t>
  </si>
  <si>
    <t>PSPT</t>
  </si>
  <si>
    <t>FREX</t>
  </si>
  <si>
    <t>CPDV</t>
  </si>
  <si>
    <t>Prepaid card</t>
  </si>
  <si>
    <t>PSLF</t>
  </si>
  <si>
    <t>TRBN</t>
  </si>
  <si>
    <t>RETR</t>
  </si>
  <si>
    <t>CLOW</t>
  </si>
  <si>
    <t>UNTE</t>
  </si>
  <si>
    <t>RLOW</t>
  </si>
  <si>
    <t>SECO</t>
  </si>
  <si>
    <t>RTRA</t>
  </si>
  <si>
    <t>MODF</t>
  </si>
  <si>
    <t>Unauthorised payment transaction</t>
  </si>
  <si>
    <t>UNPT</t>
  </si>
  <si>
    <t>MITR</t>
  </si>
  <si>
    <t>LSCA</t>
  </si>
  <si>
    <t>NRCA</t>
  </si>
  <si>
    <t>CFCA</t>
  </si>
  <si>
    <t>CATH</t>
  </si>
  <si>
    <t>LSEC</t>
  </si>
  <si>
    <t>NREC</t>
  </si>
  <si>
    <t>CFEC</t>
  </si>
  <si>
    <t>UNET</t>
  </si>
  <si>
    <t>Same as above</t>
  </si>
  <si>
    <t>DDCP</t>
  </si>
  <si>
    <t>CCDP</t>
  </si>
  <si>
    <t>ETDP</t>
  </si>
  <si>
    <t>MNPO</t>
  </si>
  <si>
    <t>MNCP</t>
  </si>
  <si>
    <t>MNEP</t>
  </si>
  <si>
    <t>║╚═ Other</t>
  </si>
  <si>
    <t>Number of cards for own customers</t>
  </si>
  <si>
    <t>COTH</t>
  </si>
  <si>
    <t>CUDD</t>
  </si>
  <si>
    <t>IBDD</t>
  </si>
  <si>
    <t>Interbank direct debit</t>
  </si>
  <si>
    <t>Customer direct debit</t>
  </si>
  <si>
    <t>Prepaid cards or e-money cards on which e-money can be stored directly:</t>
  </si>
  <si>
    <t>Number of customers</t>
  </si>
  <si>
    <t>Country of customer residence</t>
  </si>
  <si>
    <t>V1.20</t>
  </si>
  <si>
    <t>V1.21</t>
  </si>
  <si>
    <t>V1.31</t>
  </si>
  <si>
    <t>V1.50</t>
  </si>
  <si>
    <t>V1.51</t>
  </si>
  <si>
    <t>V1.52</t>
  </si>
  <si>
    <t>V1.53</t>
  </si>
  <si>
    <t>V1.70</t>
  </si>
  <si>
    <t>Table name (ECB requirements in red)</t>
  </si>
  <si>
    <t>Dimension name</t>
  </si>
  <si>
    <t>Code</t>
  </si>
  <si>
    <t>This sector consists of all financial corporations and quasi-corporations, except those classified in the central bank and in the deposits institutions subsectors, which are principally engaged in financial intermediation. Their business is to issue investment fund shares or units as close substitutes for deposits from institutional units, and, for their own account, to make investments primarily in money market fund shares/units, short-term debt securities, and/or deposits.</t>
  </si>
  <si>
    <r>
      <rPr>
        <b/>
        <sz val="11"/>
        <rFont val="Arial"/>
        <family val="2"/>
      </rPr>
      <t>Level 0</t>
    </r>
  </si>
  <si>
    <r>
      <rPr>
        <b/>
        <sz val="11"/>
        <rFont val="Arial"/>
        <family val="2"/>
      </rPr>
      <t>Level 1</t>
    </r>
  </si>
  <si>
    <r>
      <rPr>
        <b/>
        <sz val="11"/>
        <rFont val="Arial"/>
        <family val="2"/>
      </rPr>
      <t>Level 2</t>
    </r>
  </si>
  <si>
    <r>
      <rPr>
        <b/>
        <sz val="11"/>
        <rFont val="Arial"/>
        <family val="2"/>
      </rPr>
      <t>Level 3</t>
    </r>
  </si>
  <si>
    <r>
      <rPr>
        <b/>
        <sz val="11"/>
        <rFont val="Arial"/>
        <family val="2"/>
      </rPr>
      <t>Label</t>
    </r>
  </si>
  <si>
    <r>
      <rPr>
        <sz val="11"/>
        <rFont val="Arial"/>
        <family val="2"/>
      </rPr>
      <t>Public sector</t>
    </r>
  </si>
  <si>
    <r>
      <rPr>
        <sz val="11"/>
        <rFont val="Arial"/>
        <family val="2"/>
      </rPr>
      <t>Central government</t>
    </r>
  </si>
  <si>
    <r>
      <rPr>
        <sz val="11"/>
        <rFont val="Arial"/>
        <family val="2"/>
      </rPr>
      <t>Other general government</t>
    </r>
  </si>
  <si>
    <r>
      <rPr>
        <sz val="11"/>
        <rFont val="Arial"/>
        <family val="2"/>
      </rPr>
      <t>State government</t>
    </r>
  </si>
  <si>
    <r>
      <rPr>
        <sz val="11"/>
        <rFont val="Arial"/>
        <family val="2"/>
      </rPr>
      <t>Local government</t>
    </r>
  </si>
  <si>
    <r>
      <rPr>
        <sz val="11"/>
        <rFont val="Arial"/>
        <family val="2"/>
      </rPr>
      <t>Social security funds</t>
    </r>
  </si>
  <si>
    <r>
      <rPr>
        <sz val="11"/>
        <rFont val="Arial"/>
        <family val="2"/>
      </rPr>
      <t>Non-financial sector</t>
    </r>
  </si>
  <si>
    <r>
      <rPr>
        <sz val="11"/>
        <rFont val="Arial"/>
        <family val="2"/>
      </rPr>
      <t>Non-financial corporations</t>
    </r>
  </si>
  <si>
    <r>
      <rPr>
        <sz val="11"/>
        <rFont val="Arial"/>
        <family val="2"/>
      </rPr>
      <t>Households and non-profit institutions serving households</t>
    </r>
  </si>
  <si>
    <r>
      <rPr>
        <sz val="11"/>
        <rFont val="Arial"/>
        <family val="2"/>
      </rPr>
      <t>Households</t>
    </r>
  </si>
  <si>
    <r>
      <rPr>
        <sz val="11"/>
        <rFont val="Arial"/>
        <family val="2"/>
      </rPr>
      <t>Sole proprietors</t>
    </r>
  </si>
  <si>
    <r>
      <rPr>
        <sz val="11"/>
        <rFont val="Arial"/>
        <family val="2"/>
      </rPr>
      <t>Physical persons</t>
    </r>
  </si>
  <si>
    <r>
      <rPr>
        <sz val="11"/>
        <rFont val="Arial"/>
        <family val="2"/>
      </rPr>
      <t>Non-profit institutions serving households</t>
    </r>
  </si>
  <si>
    <r>
      <rPr>
        <sz val="11"/>
        <rFont val="Arial"/>
        <family val="2"/>
      </rPr>
      <t>Monetary financial institutions (MFI) sector</t>
    </r>
  </si>
  <si>
    <r>
      <rPr>
        <sz val="11"/>
        <rFont val="Arial"/>
        <family val="2"/>
      </rPr>
      <t>Central bank</t>
    </r>
  </si>
  <si>
    <r>
      <rPr>
        <sz val="11"/>
        <rFont val="Arial"/>
        <family val="2"/>
      </rPr>
      <t>Deposit taking corporations</t>
    </r>
  </si>
  <si>
    <r>
      <rPr>
        <sz val="11"/>
        <rFont val="Arial"/>
        <family val="2"/>
      </rPr>
      <t>Credit institutions</t>
    </r>
  </si>
  <si>
    <r>
      <rPr>
        <sz val="11"/>
        <rFont val="Arial"/>
        <family val="2"/>
      </rPr>
      <t>Other deposit taking corporations</t>
    </r>
  </si>
  <si>
    <r>
      <rPr>
        <sz val="11"/>
        <rFont val="Arial"/>
        <family val="2"/>
      </rPr>
      <t>Money market funds (MMF)</t>
    </r>
  </si>
  <si>
    <r>
      <rPr>
        <sz val="11"/>
        <rFont val="Arial"/>
        <family val="2"/>
      </rPr>
      <t>Financial sector (except MFI)</t>
    </r>
  </si>
  <si>
    <r>
      <rPr>
        <sz val="11"/>
        <rFont val="Arial"/>
        <family val="2"/>
      </rPr>
      <t>Non MMF investment funds</t>
    </r>
  </si>
  <si>
    <r>
      <rPr>
        <sz val="11"/>
        <rFont val="Arial"/>
        <family val="2"/>
      </rPr>
      <t>Other financial intermediaries</t>
    </r>
  </si>
  <si>
    <r>
      <rPr>
        <sz val="11"/>
        <rFont val="Arial"/>
        <family val="2"/>
      </rPr>
      <t>Securitisation vehicles</t>
    </r>
  </si>
  <si>
    <r>
      <rPr>
        <sz val="11"/>
        <rFont val="Arial"/>
        <family val="2"/>
      </rPr>
      <t>Central counterparties</t>
    </r>
  </si>
  <si>
    <r>
      <rPr>
        <sz val="11"/>
        <rFont val="Arial"/>
        <family val="2"/>
      </rPr>
      <t>Captive financial institutions and money lenders</t>
    </r>
  </si>
  <si>
    <r>
      <rPr>
        <sz val="11"/>
        <rFont val="Arial"/>
        <family val="2"/>
      </rPr>
      <t>Insurance corporations</t>
    </r>
  </si>
  <si>
    <r>
      <rPr>
        <sz val="11"/>
        <rFont val="Arial"/>
        <family val="2"/>
      </rPr>
      <t>Pension funds</t>
    </r>
  </si>
  <si>
    <r>
      <rPr>
        <sz val="11"/>
        <rFont val="Arial"/>
        <family val="2"/>
      </rPr>
      <t>No breakdown</t>
    </r>
  </si>
  <si>
    <t>CDDP6</t>
  </si>
  <si>
    <t>Correspondance table between "Definitions and concepts for the statistical reporting of credit institutions" and the CDDP6</t>
  </si>
  <si>
    <t>Page 66</t>
  </si>
  <si>
    <t>Central bank</t>
  </si>
  <si>
    <t>Financial auxiliaries</t>
  </si>
  <si>
    <t>Non-MFIs</t>
  </si>
  <si>
    <t>MFIs</t>
  </si>
  <si>
    <t>E-money institution / Other MFI</t>
  </si>
  <si>
    <t>ELMI/OMFI</t>
  </si>
  <si>
    <t>PMIN/ONMF</t>
  </si>
  <si>
    <t>Definitions and concepts for the statistical reporting of credit institutions</t>
  </si>
  <si>
    <t>A payment institution as defined in the Directive (EU) 2015/2366 (PSD2)</t>
  </si>
  <si>
    <t>Electronic money institution as defined in the Directive 2009/110/EC.</t>
  </si>
  <si>
    <r>
      <rPr>
        <b/>
        <sz val="11"/>
        <color theme="1"/>
        <rFont val="Arial"/>
        <family val="2"/>
      </rPr>
      <t>Households:</t>
    </r>
    <r>
      <rPr>
        <sz val="11"/>
        <color theme="1"/>
        <rFont val="Arial"/>
        <family val="2"/>
      </rPr>
      <t xml:space="preserve">
The household sector covers individuals or groups of individuals as consumers and possibly also  as  entrepreneurs  producing  market  goods  and  non-financial  and  financial  services (market  producers)  provided  that,  in  the  latter  case,  the  corresponding  activities  are  not those of separate entities treated as quasi-corporations. It also includes individuals or groups of individuals as producers of goods and non-financial services for exclusively own final use.
</t>
    </r>
    <r>
      <rPr>
        <b/>
        <sz val="11"/>
        <color theme="1"/>
        <rFont val="Arial"/>
        <family val="2"/>
      </rPr>
      <t>Non-profit institutions serving households</t>
    </r>
    <r>
      <rPr>
        <sz val="11"/>
        <color theme="1"/>
        <rFont val="Arial"/>
        <family val="2"/>
      </rPr>
      <t xml:space="preserve">
The   sector   non-profit   institutions   serving   households   (NPISHs)   consists   of   non-profit institutions which are separate legal entities,  which serve households and which are other private  non-market  producers.  Their  principal  resources,  apart  from  those  derived  from occasional sales, are derived from voluntary contributions in cash or in kind from households in  their  capacity  as  consumers,  from  payments  made  by  general  governments  and  from property income.</t>
    </r>
  </si>
  <si>
    <t>The  sector  non-financial  corporations  consists  of  institutional  units  which  are  independent legal entities and market producers, and whose principal activity is the production of goods and non-financial services. The non-financial corporations sector also includes non-financial quasi-corporations.</t>
  </si>
  <si>
    <t>In particular, this category includes the public sector (central and other general government), other financial intermediaries, securitisation vehicles, central counterparties, other financial intermediaries, financial auxiliaries, captive financial institutions and money lenders, insurance corporations, or pension funds.</t>
  </si>
  <si>
    <t>Other instant</t>
  </si>
  <si>
    <t xml:space="preserve">Other than listed settlement channels. </t>
  </si>
  <si>
    <t xml:space="preserve">This sector includes in particular:
* commercial banks, universal banks as well as all-purpose banks
* savings banks
* rural credit banks, agricultural credit banks
* cooperative credit banks, credit unions
* specialised banks (e.g. merchant banks, banks specialised in issuing covered bonds “banques des lettres de gage”, private banks)
</t>
  </si>
  <si>
    <t>Other than SEPA scheme. Please contact BCL in case a non-SEPA scheme is used.</t>
  </si>
  <si>
    <t>Order of appearance</t>
  </si>
  <si>
    <t>E-commerce payment</t>
  </si>
  <si>
    <t>P2P MPS</t>
  </si>
  <si>
    <t>Other MPS</t>
  </si>
  <si>
    <t>Online banking based payment</t>
  </si>
  <si>
    <t>Mobile payment solution (MPS)</t>
  </si>
  <si>
    <t>Credit transfer: An electronically initiated credit transfer that is part of a group of credit transfers jointly initiated by the payer via a dedicated line. Each credit transfer contained in a batch is counted as a separate credit transfer when reporting the number of transactions.
Direct debit: An electronically initiated direct debit that is part of a group of direct debits jointly initiated by the payee. Each direct debit contained in a batch is counted as a separate direct debit when reporting the number of transactions.</t>
  </si>
  <si>
    <t>Credit transfer: Example: payment by a company of its monthly payroll.
Direct debit: Payees may initiate direct debits in a batch and send it to their ASPSP directly, or to a CSM/RPS for processing. PSPs are required to report direct debits on both routings.</t>
  </si>
  <si>
    <t>Credit transfer: An electronically initiated credit transfer that is part of a group of credit transfers jointly initiated by the payer via a dedicated line. Each credit transfer contained in a batch is counted as a separate credit transfer when reporting the number of transactions
Direct debit: An electronically initiated direct debit that is part of a group of direct debits jointly initiated by the payee. Each direct debit contained in a batch is counted as a separate direct debit when reporting the number of transactions.</t>
  </si>
  <si>
    <t>Reference in the Regulation</t>
  </si>
  <si>
    <t>Definition in the Regulation or Annex II</t>
  </si>
  <si>
    <t>Table</t>
  </si>
  <si>
    <t>Comments:</t>
  </si>
  <si>
    <t xml:space="preserve">Account information service provider’ means ‘account information service provider’ as defined in Article 4(19) of Directive (EU) 2015/2366. </t>
  </si>
  <si>
    <t>A provider of a service that enables payment service users (PSUs) to gain an overview of payment accounts held at one or multiple ASPSPs. Additional features can be provided, e.g. aggregation of balances, overview of consumption, or account information services for credit rating. AISPs report the number of their clients. As credit institutions can also provide account information services, they report the number of their clients when acting as AISP. In addition ASPSPs should report the number of payment accounts accessed by AISPs during the reference period. For reporting purposes each account is counted only once even if it is accessed multiple times, but accounts must be accessed at least once in the reference period to be included in the reporting.</t>
  </si>
  <si>
    <t>Table 1 and A</t>
  </si>
  <si>
    <t>Account information services</t>
  </si>
  <si>
    <t>‘Account information services’ means ‘account information service’ as defined in Article 4(16) of Directive (EU) 2015/2366.</t>
  </si>
  <si>
    <t xml:space="preserve">Account servicing payment service provider’ means ‘account servicing payment service provider’ as defined in Article 4(17) of Directive (EU) 2015/2366. </t>
  </si>
  <si>
    <t xml:space="preserve">ASPSPs, often credit institutions, are institutions that service the PSU’s payment account. The breakdown included in Table 1 of Annex III to the Regulation does not refer to the number of ASPSPs but ASPSPs should report the number of payment accounts accessed during the reference period. This intends to get the perspective of domestic ASPSPs on the activities of AISPs to complement the reporting of domestic AISPs, which is also requested. This information is relevant as AISPs can operate across borders and domestic accounts might be accessed by non-domestic AISPs and vice versa. ASPSPs are not considered as other payment service providers. </t>
  </si>
  <si>
    <t xml:space="preserve">Cash deposit performed at an ATM using a card-based payment instrument or other means, including transactions whereby cash is deposited at a terminal, without manual intervention, and the payer is identified with a card-based payment instrument or other means. </t>
  </si>
  <si>
    <t>Table 6</t>
  </si>
  <si>
    <t>ATM cash withdrawal</t>
  </si>
  <si>
    <t>Cash withdrawal performed at an ATM using a card-based payment instrument or other means. Cash advances at POS terminals as part of a payment transaction for the purchase of goods or services (‘cash-back’ transactions) are not included.</t>
  </si>
  <si>
    <t>This breakdown only includes non-remotely initiated credit transfers and only includes transactions at physical terminals.</t>
  </si>
  <si>
    <t>This breakdown only includes non-remotely initiated credit transfers and only includes transactions at physical terminals. Further explanation can be added here</t>
  </si>
  <si>
    <t xml:space="preserve">Included in this breakdown are for example ATMs that allow authorised users to pay utility bills. </t>
  </si>
  <si>
    <t>‘Authenticated via non-strong customer authentication’ refers to transactions which are exempted from strong customer authentication pursuant to Chapter III of Commission Delegated Regulation (EU) 2018/389 as well as transactions for which the provisions in Article 97(1) of Directive (EU) 2015/2366 do not apply. Merchant initiated transactions as well as other transactions to which SCA is not applicable are included.</t>
  </si>
  <si>
    <t>Table 5b</t>
  </si>
  <si>
    <t>Credit transfers, direct debits, card-based payment transactions and e-money payment transactions are further broken down between strong and non-strong customer authentication. Transactions reported by PISPs are also broken down by authentication channel (strong customer authentication (SCA) and non-strong customer authentication (non-SCA)).</t>
  </si>
  <si>
    <t xml:space="preserve">This fraud type is relevant for card-based payment transactions and e-money payment transactions. For example a merchant creating a fraudulent payment order with card details saved from a previous transaction.  For e-money payment transactions using a card, this fraud origin should be understood as e-money card details theft even though a separate definition for that fraud origin for e-money cards is not included in the Annex II to the Regulation. In the case of e-money card details theft, the sensitive payment data relates to data on the e-money card. </t>
  </si>
  <si>
    <t xml:space="preserve">This fraud type is relevant for card-based payment transactions and e-money payment transactions. </t>
  </si>
  <si>
    <t>Table 9</t>
  </si>
  <si>
    <t>These are distinguished from cards that give access to e-money stored on e-money accounts. These two categories are mutually exclusive.</t>
  </si>
  <si>
    <t>Cards which give access to e-money stored on e-money accounts refer to cards, which are linked to e-money (card) accounts. It might be that the user of the e-money card is not aware of such an e-money account. A typical example for such cards is a prepaid card. While prepaid cards are often cards which give access to e-money stored on e-money accounts there exist prepaid cards which are considered as cards on which e-money can be stored directly.</t>
  </si>
  <si>
    <t>Cards with a cash function are cards which could be used in order to withdraw money. Cards which only allow initiating payment transactions are excluded. Those cards which are only used to withdraw or deposit cash at ATMs and which are not on the name of the payer are not included (i.e. machine-readable cards used to deposit money in the Bulk Deposit Machines are reported only under total number of cards (irrespective of the number of functions on the card) in Table 2 of the Regulation. The said cards cannot be used on ATMs and are therefore not included in cards with a cash function.</t>
  </si>
  <si>
    <t>A card issued by a PSP, which has a combined cash, debit and e-money function.</t>
  </si>
  <si>
    <t xml:space="preserve">The breakdown “cards with a contactless payment function” includes all cards which offer the PSU the possibility to pay contactless. </t>
  </si>
  <si>
    <t xml:space="preserve">The card may also have other functions, such as an e-money function, but cards with only an e-money function are not counted in this category. Cards with only a cash withdrawals/deposits function are not included.  Cards with a payment function are broken down by function. Furthermore, each function is broken down by payment card scheme, which are not mutually exclusive. </t>
  </si>
  <si>
    <t xml:space="preserve">(Gift) vouchers which are only accepted by a limited number of merchants are excluded from the reporting of cards with an e-money function - on which e-money can be stored directly. Monetary value stored on specific prepaid instruments does not represent electronic money if the instruments are designed to address precise needs and can be used only in a limited way, because they allow the electronic money holder to purchase goods or services only on the premises of the electronic money issuer or within a limited network of service providers under direct commercial agreement with a professional issuer, or because they can be used only to acquire a limited range of goods or services. Such instruments could include store cards, petrol cards, membership card, public transport cards, meal vouchers or vouchers for services. These cards and transactions with those cards are not included in the reporting of payments statistics. </t>
  </si>
  <si>
    <t xml:space="preserve">In this item all cards that have been loaded  are counted, irrespective of when exactly this loading took place (not necessarily during the reference period). Furthermore, only cards still valid at the end of the reporting period should be reported. </t>
  </si>
  <si>
    <t>Cash advances at POS</t>
  </si>
  <si>
    <t xml:space="preserve">Transactions in which the cardholder using a card or other means receives cash at a POS terminal in combination with a payment transaction for goods or services (commonly referred to as ‘cash-back’). </t>
  </si>
  <si>
    <t>Cash advances at POS are included in cash withdrawals using card-based payment transactions in Tables 4a/4b and 5a/5b. 
Cash advances at POS are typically payment transaction where a customer buys a good or service in a shop and wishes to pay for this by using a card at a POS terminal. The customer asks the shop attendant (e.g. supermarket) to also withdraw an amount of cash. The amount of cash to be withdrawn is added to the price of the good or service. The transaction is made – as a single transaction – using the same card at the same time.
It should be noted that only the cash advance is to be reported here. The amount for the payment of goods is to be counted as a card-based payment transaction. If it is not possible to distinguish between the amount of the transaction for goods and services and the cash advance the payment transaction is reported as ‘POS transactions’. Cash advances at POS which are not linked to a simultaneous shopping transaction are included in ATM cash withdrawals.</t>
  </si>
  <si>
    <t xml:space="preserve">Cash withdrawals using card-based payment instruments include cash advances at POS (so called ‘cash-back’ transactions). Cash withdrawals are reported broken down by card function and PCS. </t>
  </si>
  <si>
    <t xml:space="preserve">Central bank means ‘central bank’ (subsector S.121) as defined in paragraphs 2.72 to 2.74 of Annex A to Regulation (EU) No 549/2013. </t>
  </si>
  <si>
    <t>Table 7</t>
  </si>
  <si>
    <t>The category cheques includes cheques issued and submitted. 
1) The subcategory sent cheques is counted from the payee’s side. For domestic cheques, the PSPs of both parties (the payer and the payee) are resident in the reporting country. For cross-border transactions, the payee submits a cheque to a PSP resident in the reporting country, while the PSP of the payer is located outside of the country.
2) Subcategory received cheques should be counted on the payer’s side. For domestic cheques, the PSPs of both parties (the payer and the payee) are resident in the reporting country. For cross-border transactions, the PSP of the payer (drawers have an account with local PSPs) is resident in the reporting country and the PSPs of the payee is resident outside of the country.</t>
  </si>
  <si>
    <t>Clearing and settlement organisations</t>
  </si>
  <si>
    <t xml:space="preserve">Clearing and settlement organisations refers to any clearing and settlement organisation which is a direct participant in a payment system.  </t>
  </si>
  <si>
    <t>Concentration ratio</t>
  </si>
  <si>
    <t>‘Concentration ratio’ means the market share of the five largest senders of payment transactions in each system (this may include the central bank). The five largest senders of transactions in terms of volume may differ from the five largest senders in terms of value. Each participant which has individual access to the system is counted separately, irrespective of whether an affiliation between two or more participants exists.</t>
  </si>
  <si>
    <t xml:space="preserve">The concentration ratio is calculated based on the five largest senders of payment transactions, irrespective of whether these senders are direct or indirect participants in the payment system. </t>
  </si>
  <si>
    <t>Table 8</t>
  </si>
  <si>
    <t xml:space="preserve">Consent given in other forms includes direct debits in which the payer has given consent in non-electronic form. For those direct debits, where the PSP is not involved in providing the mandate and where the PSP also could not get any information on the form on the consent, the direct debit is included in consent given in other forms. </t>
  </si>
  <si>
    <t>A consent given by the payer via a mandate as defined in Article 2(21) of Regulation (EU) No 260/2012 which is in electronic form.</t>
  </si>
  <si>
    <t>A direct debit for which consent has been given via an electronic mandate refers to those direct debits which use the e-mandate feature of the SEPA scheme.</t>
  </si>
  <si>
    <t>A direct debit for which consent has been given via an electronic mandate refers to those direct debits which use the e-mandate feature of the SEPA scheme</t>
  </si>
  <si>
    <t>Contactless payments to which the exception in Article 11 of the Commission Delegated Regulation (EU) 2018/389 applies.</t>
  </si>
  <si>
    <t>Contactless payment</t>
  </si>
  <si>
    <t>Portable devices include, for example, mobile phones and wearable devices, while physical cards are also portable devices. The contactless technology could be either NFC (see next position), Bluetooth, WiFi or even a QR- or Barcode which is contactlessly scanned.</t>
  </si>
  <si>
    <t xml:space="preserve">This fraud type is relevant for card-based payment transactions. Typical for such fraud types are situations where the card information is copied by using a card reading device fraudulently attached to an ATM. This stolen information is then used to produce a counterfeit card. </t>
  </si>
  <si>
    <t xml:space="preserve">This fraud type is relevant for e-money payment transactions. Typical for such fraud types are situations where the card information is copied by using a device attached to an ATM. This stolen information is then used to produce a counterfeit card. </t>
  </si>
  <si>
    <t xml:space="preserve">This was previously known in the Regulation as a ‘card with a credit function’. </t>
  </si>
  <si>
    <t>‘Credit institution’ means ‘credit institution’ as defined in Article 4(1) of Regulation (EU) No 575/2013.</t>
  </si>
  <si>
    <t>Credit institutions are undertakings whose business is to take deposits or other repayable funds from the public and to grant credits for their own account. Other repayable funds may also include proceeds from the sale of bank bonds to the public. While a PSP can act both, as credit institution and electronic money issuer, this PSP should only be reported as credit institution. Furthermore, a credit institution providing account information services should report both, the number of its clients when acting as AISP and the number of different payment accounts accessed by AISPs during the reference period when acting as account servicing payment service provider (ASPSP). The outstanding value on e-money storages issued can only be reported by those credit institutions which also issue e-money.</t>
  </si>
  <si>
    <t>‘Credit institution’ means ‘credit institution’ as defined in Article 4(1) of Regulation (EU) No 575/2013</t>
  </si>
  <si>
    <t>Credit institutions are undertakings whose business is to take deposits or other repayable funds from the public and to grant credits for their own account. Other repayable funds may also include proceeds from the sale of bank bonds to the public. While a PSP can act both, as credit institution and electronic money issuer, this PSP should only be reported as credit institution. Furthermore, a credit institution providing account information services should report both, the number of its clients when acting as AISP and the number of different payment accounts accessed by AISPs during the reference period when acting as account servicing payment service provider (ASPSP). The outstanding value on e-money storages issued can only be reported by those credit institutions which also issue e-money</t>
  </si>
  <si>
    <t>When a credit transfer takes place between two accounts at different PSPs, the funds can flow different routes from the payer to the payee. Distinct phases can nonetheless be identified. 
1. Initiation: In all cases a payment order is necessary to initiate the payment. 
2. Clearing and settlement: When the payer and the payee accounts are not in the same PSP, there is a clearing and settlement phase, which itself has two distinct elements; clearing and settlement. Since ‘on-us’ transactions do not require transfer of funds between institutions, clearing and settlement are not necessary in such cases. 
3. Completion: The payee receives the funds and the transaction is completed. Whether the payee receives the funds prior to final settlement between the payer’s and payee’s PSPs does not alter this fundamental model.</t>
  </si>
  <si>
    <t>When a credit transfer takes place between two accounts at different PSPs, the funds can flow different routes from the payer to the payee. Distinct phases can nonetheless be identified. 
1. Initiation: In all cases a payment order is necessary to initiate the payment. 
2. Clearing and settlement: When the payer and the payee accounts are not in the same PSP, there is a clearing and settlement phase, which itself has two distinct elements; clearing and settlement. Since ‘on-us’ transactions do not require transfer of funds between institutions, clearing and settlement are not necessary in such cases. 
3. Completion: The payee receives the funds and the transaction is completed. Whether the payee receives the funds prior to final settlement between the payer’s and payee’s PSPs does not alter this fundamental model</t>
  </si>
  <si>
    <t xml:space="preserve">Credits to the accounts by simple book entry are not included as credit transfers. Credits to the account by simple book entry could include services related to liquidity management, credit transactions and securities trading related transactions. </t>
  </si>
  <si>
    <t>Cross-border payment transaction</t>
  </si>
  <si>
    <t>A payment transaction initiated by a payer or by a payee, where the payer’s PSP and the payee’s PSP are located in different countries. For card-based payment transactions, ‘cross-border payment transaction’ means ‘cross-border payment transaction’ as defined in Article 2(8) of Regulation (EU) 2015/751.
Specifically, in the case of payment systems: a payment transaction between participants located in different countries.</t>
  </si>
  <si>
    <t xml:space="preserve">Cross-border card-based payment transactions, and cash withdrawals using card-based payment instruments, are those payment transactions, where both the payer’s PSP (issuer) and the payee’s PSP (acquirer) are resident in different countries or those payment transactions, where the payer’s PSP (issuer) is located in another country than the POS. The reporting agents and hence the NCBs, report the location of the issuer, the acquirer and the POS for what concerns the semi-annual reporting. For card-based payment transactions initiated non-remotely, the location of the POS is the location of the physical terminal. For remotely initiated card-based payment transactions, the location of the point of sale is reported according to the definition of ‘point of sale’ as defined in the IFR . For card-based payment transactions reported with a quarterly frequency, only the location of the POS is reported. </t>
  </si>
  <si>
    <t>A card with a debit function enables the cardholder to initiate payment transactions where each single debt incurred is credited to the account of the payer without any significant delay. This was previously known in the Regulation a as ‘card with a debit function’.</t>
  </si>
  <si>
    <t xml:space="preserve">Debits from the accounts by simple book entry are not included as direct debits. A contract for a loan, where it is stated that “due amount is debited from your current account” is not considered a payment transaction order because payment transaction orders are usually provided by the customer. Such transactions are therefore considered as “by simple book entry”. Debits to the account by simple book entry includes debit transactions, securities trading related transactions and confiscation of the account by the government. </t>
  </si>
  <si>
    <t xml:space="preserve">	The distinguishing feature of a card with a delayed debit function, in contrast to a debit or credit card, is the contractual agreement granting a credit line but including an obligation to settle the debt incurred at the end of a pre-defined period without charging interest rates. This type of card is commonly referred to as a ‘charge card’ and is also known as a deferred debit card. This was previously known in the Regulation as a ‘card with a delayed debit function’.</t>
  </si>
  <si>
    <t>‘Direct debit’ means ‘direct debit’ as defined in Article 4(23) of Directive (EU) 2015/2366.</t>
  </si>
  <si>
    <t>Direct debits are initiated by the payee (e.g. a utility company) on the basis of a mandate given by the payer. Both recurring and ‘one-off’ direct debits are included. In the case of recurring direct debits, each individual direct debit is counted as one payment transaction. Direct debits used to settle outstanding balances resulting from payment transactions using a credit or delayed debit card are also included.</t>
  </si>
  <si>
    <t>Direct debits are initiated by the payee (e.g. a utility company) on the basis of a mandate given by the payer. Both recurring and ‘one-off’ direct debits are included. In the case of recurring direct debits, each individual direct debit is counted as one payment transaction. Direct debits used to settle outstanding balances resulting from payment transactions using a credit or delayed debit card are also included, but cases where some card payment schemes use an enhanced direct debit with additional message fields for the processing of the card-based payment transactions (e.g. credit card or delayed debit card payment transaction), so called technical direct debits, are not included as direct debit, as they refer to a card-based payment transactions.</t>
  </si>
  <si>
    <t>Direct participants</t>
  </si>
  <si>
    <t>An entity which is identified or recognised by a payment system and is authorised to send and receive payment orders directly to and from the system without an intermediary or is directly bound by the rules governing the payment system. In some systems, direct participants also exchange orders on behalf of indirect participants. Every participant with individual access to the system is counted separately.</t>
  </si>
  <si>
    <t>Domestic payment transaction</t>
  </si>
  <si>
    <t>‘Domestic payment transaction’ means ‘national payment transaction’ as defined in Article 2(27) of Regulation (EU) No 260/2012. For card-based payment transactions, ‘domestic payment transaction’ means ‘domestic payment transaction’ as defined in Article 2(9) of Regulation (EU) 2015/751.</t>
  </si>
  <si>
    <t xml:space="preserve">Domestic payment transactions are those transactions where the payer’s PSP and the payee’s PSP are resident in the same country. For card-based payment transactions, domestic transactions are payment transactions where the payer’s PSP (issuer) and the payee’s PSP (acquirer) are resident in the same country and where the POS is also located in that country. </t>
  </si>
  <si>
    <t>E-commerce payments only include those that are initiated via online banking as the breakdown e-commerce is a sub-item of online banking based credit transfer. This breakdown does not include those e-commerce transactions initiated via other means than those described in the definition of online banking based credit transfer. Nonetheless, since PISPs initiated credit transfers related to e-commerce transactions are both initiated using an online banking platform and connected to a purchase on a merchant’s website, they are also included. Transactions, where an ASPSP acts as PISP to initiate a simple credit transfer for an account at another ASPSP, are not included.</t>
  </si>
  <si>
    <t>An EFTPOS terminal captures payment information by electronic means and is designed, in some cases, to transmit such information either online, with a real-time request for authorisation, or offline. EFTPOS terminals include unattended terminals.</t>
  </si>
  <si>
    <t xml:space="preserve">The item EFTPOS terminals is further broken down into EFTPOS accepting contactless payments and EFTPOS terminals accepting e-money transactions. </t>
  </si>
  <si>
    <t>A POS terminal that additionally can accept e-money payments. E-money card terminals only accepting e-money payments are not included.</t>
  </si>
  <si>
    <t>Electronic money institution</t>
  </si>
  <si>
    <t>Electronic money institution’ means ‘electronic money institution’ as defined in Article 2(1) of Directive 2009/110/EC.</t>
  </si>
  <si>
    <t xml:space="preserve">PSPs that are authorised/registered under Directive 2009/110/EC on the taking up, pursuit and prudential supervision of the business of electronic money institutions are included. The category electronic money institution only includes institutions acting as electronic money institutions and not those which also act as credit institution. </t>
  </si>
  <si>
    <t xml:space="preserve">This item includes, but is not limited to, POS terminals accepting e-money transactions. If all e-money card accepting terminals are POS terminals, meaning, if each e-money card accepting terminal also accepts debit, delayed debit or credit cards, then the number of POS terminals accepting e-money transactions is equal to the number of e-money card accepting terminals. If however, there are e.g. cash machines in parking spaces which only accept e-money cards, then the number of e-money card accepting terminals is greater than the number of POS terminals accepting e-money transactions. </t>
  </si>
  <si>
    <t>E-money card loading and unloading transactions</t>
  </si>
  <si>
    <t xml:space="preserve">Transactions allowing the transfer of e-money value from an issuer of e-money to a card with an e-money function and vice versa. Both loading and unloading transactions are included. </t>
  </si>
  <si>
    <t>Only loading and unloading at terminals, of either cards on which e-money can be stored directly or cards which give access to e-money stored on e-money accounts are included.</t>
  </si>
  <si>
    <t xml:space="preserve">E-money card terminals include all terminals, at which a payer can payer using a card with an e-money function. This also includes POS terminals accepting e-money card transactions but is not limited to those. </t>
  </si>
  <si>
    <t>E-money payment transactions</t>
  </si>
  <si>
    <t>E-money transactions are counted as either sent or received according to the initiation side (in particular, if initiated by the payee, they are counted as received from the payer’s side). E-money is considered as value issued by (liability of) an e-money issuer and not as a payment instrument, with the result that in principle both “push” and “pull” instruments may be used to transfer e-money value. To sum up, irrespective which e-money products are available to users yet, there would not be a theoretical obstacle to e-money products resembling either a credit transfer or a direct debit with regards to payment initiation.</t>
  </si>
  <si>
    <t xml:space="preserve">E-money payment transactions </t>
  </si>
  <si>
    <t>E-money payment transactions with cards with an e-money function</t>
  </si>
  <si>
    <t>E-money payment transactions with cards with an e-money function refer to e-money payment transactions initiated with cards with an e-money function</t>
  </si>
  <si>
    <t>General government</t>
  </si>
  <si>
    <t xml:space="preserve">General government means ‘General government’ (sector S.13) as defined in paragraphs 2.111 to 2.117 of Annex A to Regulation (EU) No 549/2013. </t>
  </si>
  <si>
    <t>General government used to be referred to public administration in the previous Regulation and Guideline.</t>
  </si>
  <si>
    <t>Domestic.</t>
  </si>
  <si>
    <t>Domestic and cross-border combined.</t>
  </si>
  <si>
    <t>Cross-border (only applicable to TARGET2 component systems).</t>
  </si>
  <si>
    <t xml:space="preserve">Domestic, Single country breakdown for all EEA countries, Rest of the world.
</t>
  </si>
  <si>
    <t>This means breakdowns for domestic, single country breakdowns for all European Economic Area (EEA) countries  and rest of the world outside EEA.  For all payment instruments other than card-based payment instruments the residence of the counterparty institution is reported with a Geo 3 breakdown. For card-based payment transactions and cash withdrawals using card-based payment instruments reported semi-annually, in addition to the residence of the counterparty institution, the location of the POS is also reported with a Geo 3 breakdown. In the special case of reporting by PISPs the geographical breakdown should be reported based on the residence of the institution hosting the account from which the payment is initiated, to show the extent to which this service is provided across borders.</t>
  </si>
  <si>
    <t xml:space="preserve">Domestic, Cross-border within the EEA, Rest of the world.
</t>
  </si>
  <si>
    <t>Indirect participants</t>
  </si>
  <si>
    <t>A participant allowed in a payment system, that uses, with a tiering arrangement, a direct participant as an intermediary to perform some of the activities, in particular the settlement.</t>
  </si>
  <si>
    <t>All payment transactions by an indirect participant are settled on the account of a direct participant that has agreed to represent the indirect participant in question. Every indirect participant that can be addressed individually in the system is counted separately, whether or not a legal link exists between two or more such participants.</t>
  </si>
  <si>
    <t xml:space="preserve">Credit transfers initiated by PISPs are reported in this breakdown. This credit transfers’ sub-item does not sum up with any other reporting item. This item is reported by the ASPSP, contrary to the breakdown payment initiation services of which credit transfers which are reported by the PISP. Reporting agents, in their capacity as ASPSPs, should include payments initiated by third party PISPs on behalf of payers that have payment accounts with that particular reporting PSP. </t>
  </si>
  <si>
    <t>Credit transfer: Any credit transfer which the payer submits in non-paper-based form, i.e. electronically. 
Card-based payment transaction: Card-based payment transactions which are initiated at an EFTPOS, ATM or other physical terminal that allows electronic payment initiation or remotely by electronic means of information transmission. Card-based payment transactions with card-based payment instruments issued by resident PSPs initiated in paper-based form (e.g. via based payment instrument imprinter or where the payment information is captured manually on paper vouchers) are not included.</t>
  </si>
  <si>
    <t xml:space="preserve">Paper-based credit transfers can be non-remote (e.g. OTC) or remote. </t>
  </si>
  <si>
    <t>Card-based payment transactions: Card-based payment transactions initiated at a physical terminal through a manual authorisation procedure (e.g. imprinters) (card present transactions) or payments initiated via mail order or telephone order (MOTO) (card not present transactions).</t>
  </si>
  <si>
    <t>Credit transfers initiated non-electronically is the sum of those initiated in paper-based form and those initiated in another form than paper-based or electronically. 
Card-based payment transactions authenticated with a signature at the POS, either on paper or on a signature pad, are considered as card-based payment transactions initiated non-electronically. Another example of card-based payment transactions – initiated non-electronically are telephone orders and mail orders. Payments initiated via telephone or mail are considered “initiated non-electronically”, while payments initiated online (e.g. via computer, mobile internet, electronic POS terminal) are considered “initiated electronically”.</t>
  </si>
  <si>
    <t>Credit transfer: An electronically initiated credit transfer that is initiated independently, i.e. that is not part of a group of credit transfers jointly initiated.
Direct debit: An electronically initiated direct debit that is independent from other direct debits, i.e. that is not part of a group of direct debits jointly initiated.</t>
  </si>
  <si>
    <t>Credit transfer: Single credit transfers initiated on the basis of a standing order are also reported as initiated on a single payment basis.</t>
  </si>
  <si>
    <t>Instant payments are payments in which the transmission of the payment message and the availability of the final funds to the payee occur in real time or near-real time.</t>
  </si>
  <si>
    <t xml:space="preserve">This fraud type is relevant for credit transfers, card-based payment transactions and e-money payment transactions. For example a fraudster creating a fraudulent payment order using stolen personalised security credentials e.g. via putting up a fake website. </t>
  </si>
  <si>
    <t>This fraud type is relevant for credit transfers, card-based payment transactions and e-money payment transactions. For example a merchant creating a fraudulent payment order with credentials saved from a previous transaction.</t>
  </si>
  <si>
    <t>Large-value payments system (LVPS)</t>
  </si>
  <si>
    <t>‘Large-value payment system’ means ‘large-value payment system’ as defined in Article 2(18) of Regulation (EU) No 260/2012 of the European Parliament and of the Council.</t>
  </si>
  <si>
    <t>Low value applies for credit transfers, card-based payment transactions, and e-money payment transactions.</t>
  </si>
  <si>
    <t xml:space="preserve">This fraud type is relevant for credit transfers, direct debits, card-based payment transactions and e-money payment transactions.
Scammers usually gain victims trust and convince them to transfer funds in a “safe” account, which they control. For example: convincing a clerk to issue a payment order while the fraudster impersonates as the CEO. 
Cases where the payee is fraudulent, e.g. because it sells fictitious goods or services, but does not intervene directly in the payment process, are outside the scope of fraudulent transactions that need to be reported under the Regulation . 
For card-based payment transactions, an example is the situation where a fraudster pretends to be a representative of an online car rental company. The victim proceeds with the payment transaction to the fraudster. 
</t>
  </si>
  <si>
    <t>Merchant category code (MCC)</t>
  </si>
  <si>
    <t>The ISO 18245 forms the basis of the reporting of MCC codes. However, codes for airlines, car hire agencies and hotels are aggregated while all other MCC codes are reported separately.</t>
  </si>
  <si>
    <t>Merchant initiated transaction applies for remotely initiated card-based payment transactions and e-money payment transactions.  The EBA Q&amp;As 2018_4131 (https://eba.europa.eu/single-rule-book-qa/-/qna/view/publicId/2018_4131) and 2018_4031 (https://eba.europa.eu/single-rule-book-qa/-/qna/view/publicId/2018_4031) provide further guidance</t>
  </si>
  <si>
    <t>Credit transfer: Mobile payment solution includes remotely initiated transactions via digital wallets, C2B and P2P mobile payment solution while only transactions via P2P mobile payment solutions are reported separately.
Card-based payment transaction: Only includes remote transactions. Non-remote transactions (e.g. initiated at EFTPOS) are reported according to the terminal used.</t>
  </si>
  <si>
    <t>Credit transfer: Mobile payment solution includes remotely initiated transactions via digital wallets, C2B and P2P mobile payment solution while only transactions via P2P mobile payment solutions are reported separately.
Card-based payment transaction: Only includes remote transactions. Non-remote transactions (e.g. initiated at EFTPOS) are reported according to the terminal used</t>
  </si>
  <si>
    <t xml:space="preserve">‘Modification of a payment order by the fraudster’ means ‘modification of a payment order by the fraudster’ as defined in Guideline 1.6 c of the EBA Guidelines on reporting requirements for fraud data under Article 96(6) PSD2 (EBA/GL/2018/05). </t>
  </si>
  <si>
    <t>This fraud type is relevant for credit transfers, card-based payment transactions and e-money payment transactions. 
One example is the situation where the fraudster changes the amount on a payment order before the execution of that payment order. Another example is that of changing the beneficiary: a victim’s account could be accessed by a fraudster in order to modify a batch of payment details so that when payment transactions are executed by the victim’s PSP, the funds are unintentionally transferred to a beneficiary or beneficiaries chosen by the fraudster rather than the intended beneficiary.</t>
  </si>
  <si>
    <t>Money remittances are not reported as credit transfers, nor included in the reporting of other payment services as they are reported separately. Money remittances are not limited to remittances involving cash, but usually involve cash on either end of the transaction (hence, also cashless funding of remittance transactions is possible and is therefore to be included in the reporting). The defining feature of a remittance is the fact that funds are received from a payer without any payment accounts being created in the name of the payer or the payee,
Example: Some people who do not have access to a bank account but need to pay a bill to the state or a company. Those people can go to certain banks, pay the amount due together with a credit transfer form. The bank will then forward the money to the respective account.
Further information can also be found in recital (9) of Directive (EU) 2015/2366 (PSD2): “Money remittance is a simple payment service that is usually based on cash provided by a payer to a payment service provider, which remits the corresponding amount, for example via a communication network, to a payee or to another payment service provider acting on behalf of the payee. In some Member States, supermarkets, merchants and other retailers provide to the public a corresponding service enabling them to pay utilities and other regular household bills. Those bill-paying services should be treated as money remittance, unless the competent authorities consider the activity to fall under another payment service.”</t>
  </si>
  <si>
    <t>This category includes contactless payments with cards and/or portable devices using NFC technology (e.g. mobile payments initiated via mobile card-based wallets).</t>
  </si>
  <si>
    <t>Table 1 of the Regulation collects information on institutions offering payment services to non-MFIs. 
The graph below shows the linkages between the different types of accounts explained in this section. Deposits redeemable at notice are not considered payment accounts and hence are excluded from the reporting.</t>
  </si>
  <si>
    <t>Number of payment accounts accessed by AISPs</t>
  </si>
  <si>
    <t>The number of different accounts accessed by the AISP in the reporting period.</t>
  </si>
  <si>
    <t>ASPSPs should report the number of payment accounts accessed by (domestic and non-domestic) AISPs during the reference period. For reporting purposes each account is counted only once even if it is accessed multiple times, but accounts must be accessed at least once in the reference period to be included in the reporting. The Geo breakdown refers to the country of the AISPs.</t>
  </si>
  <si>
    <t>Number of clients</t>
  </si>
  <si>
    <t>The number of payment service users to which the AISP offers its services.</t>
  </si>
  <si>
    <t>AISPs and credit institutions when acting as AISPs report the number of clients who have signed up for account information services and who were clients on the last day of the reporting period, whether those clients have used the services or not. The Geo breakdown refers to the country of the PSU.</t>
  </si>
  <si>
    <t>Number of e-money accounts</t>
  </si>
  <si>
    <t>An account in which e-money is stored and in which the balance can be used by the account holder to make payments and to transfer funds between accounts (see definition of 'electronic money').</t>
  </si>
  <si>
    <t>Number of internet/PC-linked overnight deposits</t>
  </si>
  <si>
    <t>Number of overnight deposit accounts held by non-MFIs which the account holder can access and use electronically via the internet or with PC banking applications via dedicated software and dedicated telecommunication lines.</t>
  </si>
  <si>
    <t>Number of internet/PC-linked transferable overnight deposits</t>
  </si>
  <si>
    <t xml:space="preserve">Number of accounts holding transferable overnight deposits as defined in ‘instrument categories’ in point 9.1a of Part 2 of Annex II to Regulation (EU) No 1071/2013 (ECB/2013/33) held by non-MFIs which the account holder can access and use electronically via the internet or with PC banking applications via dedicated software and dedicated telecommunication lines.  </t>
  </si>
  <si>
    <t xml:space="preserve">In addition to being transferable overnight deposits in accounts, these deposits can be accessed and used either via the internet, such as using an online or mobile banking application, or using a dedicated terminal usually supplied by the institution hosting the account.  In some cases these terminals might be ATMs with additional functionality.  In other cases they might be dedicated terminals linked to the banks’ online banking apparatus, or they will otherwise give the customer access to the account via a dedicated connection and the ability to perform actions on the account and with the funds in the account.  So in the case of a non-transferable deposit the actions available to the account holders via these channels would include the facility to instruct the bank to issue funds to them from the accounts via another medium as listed in the Regulation.  In the case of a transferable overnight deposit the facility would additionally allow the holder of the account to issue a payment order via the channel. </t>
  </si>
  <si>
    <t>Number of overnight deposits</t>
  </si>
  <si>
    <t>Number of accounts holding overnight deposits as defined in ‘Instrument categories’ in point 9.1 of the table ‘Instrument categories’ of Part 2 of Annex II to Regulation (EU) No 1071/2013 (ECB/2013/33).</t>
  </si>
  <si>
    <t xml:space="preserve">The number of overnight deposits includes, but is not limited to, the number of transferable overnight deposits.  Regulation ECB/2013/33 concerning the balance sheet of the monetary financial institutions sector further explains that overnight deposits are deposits, which are convertible into currency and/or which are transferable on demand without significant delay, restriction or penalty. 
This includes:
(a) balances (interest-bearing or not) which are immediately convertible into currency on demand or by close of business on the day following that on which the demand was made, without any significant penalty or restriction, but which are not transferable; 
(b) balances (interest-bearing or not) representing prepaid amounts in the context of ‘hardware-based’ or ‘software-based’ e-money, e.g. prepaid cards; 
(c) loans to be repaid by close of business on the day following that on which the loan was granted.
Deposits redeemable at notice are excluded from overnight deposits. </t>
  </si>
  <si>
    <t>Number of transferable overnight deposits</t>
  </si>
  <si>
    <t>Number of accounts holding transferable overnight deposits as defined in ‘Instrument categories’ in point 9.1 of Part 2 of Annex II to Regulation (EU) No 1071/2013 (ECB/2013/33).</t>
  </si>
  <si>
    <t>Transferable deposits are directly transferable on demand to make payments by commonly used means of payment, such a credit transfer, direct debit, credit or debit card, e-money transactions, cheques, or similar means, without significant delay, restriction or penalty. Deposits that can only be used for cash withdrawal and/or deposits from which funds can only be withdrawn or transferred through another account of the same owner are not to be included as transferable deposits.</t>
  </si>
  <si>
    <t>This includes transactions where the online banking platform is accessed via web browsers, or the mobile online banking app of a PSP. Credit transfers initiated by PISPs via the ASPSP’s online banking platform are also included here and are additionally reported in a dedicated breakdown ‘credit transfers initiated by PISPs’. Therefore, these breakdowns are not mutually exclusive.</t>
  </si>
  <si>
    <t>Other (direct participants)</t>
  </si>
  <si>
    <t xml:space="preserve">The breakdown others refers to participants in a payment system, which are not considered PSPs and which do not fall under other financial institutions (e.g. a post office which is allowed to participate in a payment system but which is not considered as financial institution or PSP in the reporting country). </t>
  </si>
  <si>
    <t xml:space="preserve">Other issuance of a payment order by the fraudster. This fraud type is relevant for card-based payment transactions and e-money payment transactions. </t>
  </si>
  <si>
    <t>Other credit transfer than initiated electronically or in paper-based form: This breakdown covers all cases of credit transfers, which are initiated non-electronically but not in paper-based form, e.g. MOTO transactions.
Other initiation than at physical EFTPOS or ATM</t>
  </si>
  <si>
    <t>Other credit transfer than initiated electronically or in paper-based form: This breakdown covers all cases of credit transfers, which are initiated non-electronically but not in paper-based form, e.g. MOTO transactions
Other initiation than at physical EFTPOS or ATM</t>
  </si>
  <si>
    <t>Other than the reporting PSP or the PSU of the reporting PSP bears the loss.</t>
  </si>
  <si>
    <t>Other than credits to and debits from the accounts by simple book entry.</t>
  </si>
  <si>
    <t>Other ATM transactions (except e-money transactions)</t>
  </si>
  <si>
    <t>A payment transaction performed at an ATM using a card-based payment instrument or other means. E-money payment transactions are not included.</t>
  </si>
  <si>
    <t>Other direct participants</t>
  </si>
  <si>
    <t>Any direct participant in a payment system, excluding credit institutions and central banks.</t>
  </si>
  <si>
    <t xml:space="preserve">Other direct participants are the general government, clearing and settlement organisations, other financial institutions and others. </t>
  </si>
  <si>
    <t>Other financial institutions</t>
  </si>
  <si>
    <t xml:space="preserve">All financial institutions participating in a payment system that are under the supervision of the relevant authorities, i.e. either the central bank or the prudential supervisor, but not falling within the definition of credit institutions. </t>
  </si>
  <si>
    <t xml:space="preserve">Transactions via telecommunication, digital or IT device (PSD2 now refers to payment transactions by a provider of electronic communications networks or services provided in addition to electronic communications services for a subscriber to the network or service which are excluded from the scope of PSD2) are excluded from this item as they are not considered payment services under PSD2. Carrier billing is also not included in other payment services, as they should be reported according to the payment service used to pay the carrier. 
In general, each payment transaction should be reported in one of the categories explicitly listed in the Regulation (Table 4). Only in case the payment transaction does not fall into any of these categories, but is included in PSD2 it is reported under the item other payment services. 
Other payment services included in PSD2 but which are not explicitly listed in table 4 are for example:
• OTC cash withdrawals
• OTC cash deposits
</t>
  </si>
  <si>
    <t>Other PSPs and e-money issuers</t>
  </si>
  <si>
    <t>Other PSPs and e-money issuers means ‘Payment service providers’ as defined in Annex II to the Regulation excluding credit institutions as defined in Annex II to the Regulation, e-money institutions as defined in Annex II to the Regulation, payment institutions as defined in Annex II to the Regulation and central banks as defined in Annex II to the Regulation.</t>
  </si>
  <si>
    <t>While in the Regulation, only credit institutions, electronic money institutions, payments institutions, AISPs and PISPs are explicitly listed, PSD2 lists more types of PSPs such as post office giro institutions. As post office giro institutions are not explicitly mentioned, they should be reported as other PSPs and e-money issuers. The list below gives examples of PSPs which would be reported as other PSPs and e-money issuers:
•	Post office giro institutions
•	Public authorities when acting as PSPs</t>
  </si>
  <si>
    <t>Other services (not included in Directive 2015/2366)</t>
  </si>
  <si>
    <t>Other services not included in PSD2 are for example:
• Bills of exchange
• Promissory notes
• Credits to the accounts by simple book 
• Debits from the accounts by simple book 
• Transactions via telecommunication, digital or IT device (PSD2 now refers to payment transactions by a provider of electronic communications networks or services provided in addition to electronic communications services for a subscriber to the network or service which are excluded from the scope of PSD2)</t>
  </si>
  <si>
    <t>Outstanding value on e-money storages issued by electronic money issuers</t>
  </si>
  <si>
    <t>Value, at the end of the reporting period, of e-money issued by electronic money issuers and held by entities other than the issuer, including electronic money issuers other than the issuer.</t>
  </si>
  <si>
    <t xml:space="preserve">This includes balances on e-money accounts and e-money loaded to cards with an e-money function – on which e-money can be stored directly. </t>
  </si>
  <si>
    <t>Over the counter (OTC) cash deposits</t>
  </si>
  <si>
    <t>A cash deposit to an account at the PSP using a form, including where a card is used merely to identify the payer.</t>
  </si>
  <si>
    <t>These are cash deposits made at the customer service counter of the account holder's own PSP. OTC cash deposits include all cases in which cash deposits are made and the depositor’s account is credited via a manual step (either immediately or later).However, when a deposit is made into a machine and the account is credited automatically these should be reported as cash deposits at ATMs. The cash deposit may be made physically at the customer service counter, or using night safes, seal bag deposit boxes, or cash-in-transit companies.</t>
  </si>
  <si>
    <t>Over the counter (OTC) cash withdrawals</t>
  </si>
  <si>
    <t>A cash withdrawal from an account at the PSP using a form, including where a card is used merely to identify the payee.</t>
  </si>
  <si>
    <t>These are cash withdrawals made at the customer service counter of the account holder’s own PSP. OTC cash withdrawals include all cases in which cash withdrawals are made and the withdrawer’s account is debited via a manual step (either immediately or later).  However, when a withdrawal is made into a machine and the account is debited automatically these should be reported as cash withdrawals at ATMs.</t>
  </si>
  <si>
    <t xml:space="preserve">‘Payment account’ means ‘payment account’ as defined in Article 4(12) of Directive (EU) 2015/2366.  </t>
  </si>
  <si>
    <t>Payment accounts include all kinds of accounts which can be used for the execution of payments, irrespective of being held by a bank, payment institution or electronic money institution. Therefore, transferable overnight deposits should be included in payment accounts. The same applies to e-money accounts and credit card accounts with a credit feature. Deposits redeemable at notice, as defined in Regulation ECB/2013/33, Annex II, Table 1, point 9.3, as well as non-transferable overnight deposits are excluded from payment accounts. Investment accounts are not always included in payments accounts (it would be possible for a credit institution to operate an investment account also as a payment account).</t>
  </si>
  <si>
    <t>The reporting of card-based payment transactions by scheme is broken down separately for each scheme. International schemes are VISA, MasterCard, American Express, Diners Club, China Union Pay and JCB.</t>
  </si>
  <si>
    <t>The reporting of card-based payment transactions by scheme is broken down separately for each scheme. International schemes are VISA, MasterCard, American Express, Diners Club, China Union Pay and JCB</t>
  </si>
  <si>
    <t>Payment initiation service provider (PISP)</t>
  </si>
  <si>
    <t>PISP means a PSP pursuing business activities by triggering payments on behalf of the payer, which are not operated by the PISP itself, but by the ASPS of the payer. The number of PISP is reported under Payment Institutions in Table 1. 
Credit transfers initiated by PISPs are reported on the one hand by the ASPSPs in tables 4a and, 5a or 4b and 5b under credit transfers of which initiated by PISP. ASPSPs thus report the number and value of credit transfers initiated by PISPs from their accounts. On the other hand, each of those tables also includes a section in which PISPs report all payment transactions they initiate (under the header payment initiation services). It should be noted that the total number/value of credit transfers of which initiated by PISP does not equal the number/value of credit transfers reported by PISP under payment initiation services of which credit transfers.</t>
  </si>
  <si>
    <t>‘Payment initiation service’ means ‘payment initiation service’ as defined in Article 4(15) of Directive (EU) 2015/2366.</t>
  </si>
  <si>
    <t xml:space="preserve">The item payment initiation services should be reported by the PISP that has initiated the transaction and should capture the initiation service, not the following payment transaction. The difference between this category and the breakdown by PISP for credit transfers only gets obvious for cross-border transactions. There might be a case where the PIS is cross-border (e.g. PISP resident in country A and ASPSP resident in country B), but the credit transfer that follows is domestic (e.g. the ASPSP resident in country B transfers money to another PSP resident in country B). This transaction would be reported as domestic by the ASPSP but as cross-border by the PISP.
The category is further broken down by authentication by SCA and non-SCA . Credit transfers and other payment transactions are also separately reported. </t>
  </si>
  <si>
    <t xml:space="preserve">Payment initiation services </t>
  </si>
  <si>
    <t xml:space="preserve">‘Payment institution’ means ‘payment institution’ as defined in Article 4(4) of Directive (EU) 2015/2366.   </t>
  </si>
  <si>
    <t>PSPs that are authorised/registered under PSD2 are included. Payment institutions provide payment services but which are licensed and authorised as payment institutions and not as electronic money institutions or credit institutions. An example of payment institutions are institutions only offering acquiring services.</t>
  </si>
  <si>
    <t>Tables 4a and 4b are divided into the different payment instruments. For credit transfers, direct debits, card payments and cash withdrawals, a further breakdown into payment schemes is included in Table 4a. 
The reporting in payment schemes is divided between SEPA and non-SEPA schemes for credit transfers and direct debits. Transactions are to be reported separately for each scheme, be it SEPA or non-SEPA. International schemes for credit transfers are SEPA CT scheme and SEPA Instant CT scheme, while for direct debits the international schemes are SEPA DD Core scheme and SEPA DD B2B scheme. TARGET2 transactions are considered as transactions involving MFIs at both ends of the transactions and only included in the reporting of “payment transactions involving non-MFIs“ if retail payment transactions are sent or received through the TARGET2 system. If the SEPA rules apply, these retail payment transactions are reported as SEPA scheme. If the SEPA rules do not apply, the scheme breakdown is reported as “not-applicable” in tables 4a and 5a. Payment transactions in other currencies than euro not using the SEPA standards are included in the reporting of non-SEPA schemes.
For on-us transactions, the dimension scheme should be recorded as “on-us” if a CSM is not involved in the processing of the transaction. This is true irrespective of the standard applied to the processing of those transactions. For other transactions which are not processed via any scheme, the scheme dimension should be reported as “not applicable”, regardless of the standard applied. Also in cases in which the scheme used to process the transaction is not known, which could happen, for example, when payments are sent via a correspondent bank, the scheme dimension should be reported as “not applicable”. For transactions initiated by a PISP the same approach should be applied as for transactions initiated by a PSU.</t>
  </si>
  <si>
    <t>‘payment service provider’ has the same meaning as defined in Article 4 of Directive (EU) 2015/2366 of the European Parliament and of the Council.</t>
  </si>
  <si>
    <t>Payment service providers (PSPs) are defined according to Article 1 of PSD2, comprising credit institutions, electronic money institutions, post office giro institutions and payment institutions. In addition, the ECB, NCBs and regional or local authorities of EU Member States – providing payment services when not acting in their capacity as public authorities – are PSPs.</t>
  </si>
  <si>
    <t>Payment service user (PSU)</t>
  </si>
  <si>
    <t>PSU means a payment service user in accordance with Article 4 of Directive (EU) 2015/2366.</t>
  </si>
  <si>
    <t>Payment Statistics Relevant Institutions (PSRI)</t>
  </si>
  <si>
    <t>PSPs and PSOs are also referred to as Payment Statistics Relevant Institutions (PSRI). See Article 17 of the RIAD Guideline.</t>
  </si>
  <si>
    <t>Payment system (other than TARGET2)</t>
  </si>
  <si>
    <t xml:space="preserve">‘Payment system’ means ‘payment system’ as defined in Article 4(7) of Directive (EU) 2015/2366.   </t>
  </si>
  <si>
    <t>Art. 1</t>
  </si>
  <si>
    <t>Payment transactions for which the exception in Article 15 of the Commission Delegated Regulation (EU) 2018/389 applies.</t>
  </si>
  <si>
    <t>Payment transaction</t>
  </si>
  <si>
    <t>Regulation</t>
  </si>
  <si>
    <t>Payment transaction' has the same meaning as as defined in Article 4 of Directive (EU) 2015/2366 of the European Parliament and of the Council.</t>
  </si>
  <si>
    <t>Point of sale (POS) terminals</t>
  </si>
  <si>
    <t xml:space="preserve">Physical point of interactions (POI) are included in the item while virtual POI are excluded. Furthermore, POS terminals include attended and unattended terminals (e.g. terminals for paying gas or parking tickets). </t>
  </si>
  <si>
    <t>POS transactions</t>
  </si>
  <si>
    <t xml:space="preserve">Transactions performed through a POS terminal using a card or other means containing the appropriate payment application. </t>
  </si>
  <si>
    <t xml:space="preserve">Transactions using a card with an e-money function and cash advances at POS are not included. </t>
  </si>
  <si>
    <t>Reporting agent</t>
  </si>
  <si>
    <t>‘reporting agent’ and ‘resident’ have the same meaning as defined in Article 1 of Regulation (EC) No 2533/98.</t>
  </si>
  <si>
    <t xml:space="preserve">According to Article 2(1) of the Regulation, payment service providers and payment system operators need to report payments statistics. </t>
  </si>
  <si>
    <t>The actual reporting population shall consist of payment service providers (including electronic money issuers) and payment system operators.’</t>
  </si>
  <si>
    <t xml:space="preserve">Payment initiation service providers (PISPs) and account information service providers (AISPs) are PSPs and are therefore part of the reporting population.
</t>
  </si>
  <si>
    <t>Retail payments system (RPS)</t>
  </si>
  <si>
    <t>‘Retail payment system’ means ‘retail payment system’ as defined in Article 2(22) of Regulation (EU) No 260/2012 of the European Parliament and of the Council.</t>
  </si>
  <si>
    <t xml:space="preserve">The payment scheme for making instant payments according to the Rulebook setting out rules and business standards for the SEPA Instant Credit Transfer Scheme.
Instant payments are payments in which the transmission of the payment message and the availability of the final funds to the payee occur in real time or near-real time. </t>
  </si>
  <si>
    <t>The payment scheme for making instant payments according to the Rulebook setting out rules and business standards for the SEPA Instant Credit Transfer Scheme.
Instant payments are payments in which the transmission of the payment message and the availability of the final funds to the payee occur in real time or near-real time. Information on credit transfer schemes is available in the SDW in the following locations:</t>
  </si>
  <si>
    <t>‘SEPA Direct Debit B2B Scheme’ means ‘SEPA Business to Business Direct Debit’. It is a payment instrument for use by business customers, governed by the Rulebook for making Collections in euro throughout SEPA from accounts designated to accept collections.</t>
  </si>
  <si>
    <t>‘SEPA Direct Debit B2B Scheme’ means ‘SEPA Business to Business Direct Debit’. It is a payment instrument for use by bBusiness cCustomers, governed by the Rulebook for making Collections in euro throughout SEPA from accounts designated to accept collections.</t>
  </si>
  <si>
    <t>More information is available on the ECB website (see: https://www.ecb.europa.eu/paym/integration/retail/sepa/html/index.en.html).</t>
  </si>
  <si>
    <t>Total payment transactions involving non-MFIs</t>
  </si>
  <si>
    <t>Total number of transactions using payment instruments involving non-MFIs. Total value of transactions using payment instruments involving non-MFIs.</t>
  </si>
  <si>
    <t xml:space="preserve">Total payment transactions involving non-MFIs is the sum of the eight mutually exclusive sub-categories credit transfers, direct debits, card-based payment transactions, cash withdrawals using card-based payment instruments, e-money payment transactions, cheques, money remittances and other payment services for sent transactions. Received total payment transactions involving non-MFIs is the sum of the before mentioned sub-categories but excludes cash withdrawals using card-based payment instruments. Payment initiation services and other services (not included in Directive (EU) 2015/2366) are excluded from the total. </t>
  </si>
  <si>
    <t>A transaction involving non-MFIs received from PSPs Information is provided in the reporting country by the resident PSP. 
For different payment services, the following applies:
(a) credit transfers are counted on the payee’s side;
(b) direct debits are counted on the payer’s side;
(c) cheques are counted on the payer’s side;
(d) card transactions are counted on the payee’s, i.e. acquiring side;
(e) e-money payment transactions are counted on either the payer’s or the payee’s side, depending on the initiation channel. If counted on the payer’s (payee’s) side under transactions received, the transaction should be counted on the payee’s (payer’s) side under transactions sent.</t>
  </si>
  <si>
    <t xml:space="preserve">A transaction involving non-MFIs sent to PSPs. Information is provided in the reporting country by the resident PSP. 
For different payment services, the following applies:
(a) credit transfers are counted on the payer’s side;
(b) direct debits are counted on the payee’s side;
(c) cheques are counted on the payee’s side;
(d) card transactions are counted on the payer’s, i.e. the issuing, side.
(e) e-money payment transactions are counted on either the payer’s or the payee’s side, depending on the initiation channel. If counted on the payer’s (payee’s) side under transactions sent, the transaction should be counted on the payee’s (payer’s) side under transactions received.
</t>
  </si>
  <si>
    <t>Concerning payment systems, this is a payment transaction sent by a participant for processing by the payment system.</t>
  </si>
  <si>
    <t>Transactions at terminals at which transactions are acquired by non-resident PSPs with cards issued by resident PSPs</t>
  </si>
  <si>
    <t xml:space="preserve">Payment transactions carried out at all terminals at which transactions are acquired by non-resident PSPs (i.e. whether terminals are located in, or outside, the country of location of the PSP), where the cards used in the transactions are issued by resident PSPs.  </t>
  </si>
  <si>
    <t xml:space="preserve">Geographical breakdowns (as specified in Annex III) refer to the country of location of the terminals.
These transactions are reported by the card issuing PSP. </t>
  </si>
  <si>
    <t>Transactions at terminals at which transactions are acquired by resident PSPs with cards issued by non-resident PSPs</t>
  </si>
  <si>
    <t xml:space="preserve">Payment transactions carried out at all terminals at which transactions are acquired by resident PSPs (i.e. whether terminals are located in, or outside, the country of location of the PSP) and where the cards used in the transactions are issued by non-resident PSPs.  </t>
  </si>
  <si>
    <t xml:space="preserve">Geographical breakdowns (as specified in Annex III) refer to the country of location of the terminals. These transactions are reported by the acquiring PSP. </t>
  </si>
  <si>
    <t>Transactions at terminals at which transactions are acquired by resident PSPs with cards issued by resident PSPs</t>
  </si>
  <si>
    <t>Payment transactions carried out at all terminals at which transactions are acquired by resident PSPs (i.e. whether terminals are located in, or outside, the country of location of the PSP) and where the cards used in the transactions are issued by resident PSPs.</t>
  </si>
  <si>
    <t>Geographical breakdowns (as specified in Annex III) refer to the country of location of the terminals. These transactions are reported by the acquiring PSP.</t>
  </si>
  <si>
    <t>This fraud type is relevant for direct debits and e-money account transactions. 
For direct debit frauds, an unauthorised payment transaction is for example a payment transaction where the fraudster obtains the IBAN of the PSU and uses it to issue a fraudulent direct debit mandate in order to pay its own electricity bill via a direct debit.</t>
  </si>
  <si>
    <t xml:space="preserve">The payment scheme for making credit transfers across SEPA, as set out in the SEPA Credit Transfer Scheme Rulebook as stipulated in Regulation (EU) No 260/2012. </t>
  </si>
  <si>
    <t xml:space="preserve">The payment scheme for making instant payments according to the Rulebook setting out rules and business standards for the SEPA Instant Credit Transfer Scheme. Instant payments are payments in which the transmission of the payment message and the availability of the final funds to the payee occur in real time or near-real time. </t>
  </si>
  <si>
    <t>Additional details</t>
  </si>
  <si>
    <t>Source</t>
  </si>
  <si>
    <t xml:space="preserve">BCL, "Definitions and concepts for the statistical reporting of credit institutions"
</t>
  </si>
  <si>
    <t>Manual on payment statistics (ECB)</t>
  </si>
  <si>
    <t>BCL</t>
  </si>
  <si>
    <t>Transaction risk analysis</t>
  </si>
  <si>
    <t>The credit transfer was initiated by a PISP on behalf of the customer.</t>
  </si>
  <si>
    <t>Reason for a non-SCA</t>
  </si>
  <si>
    <t>For credit transfers sent, card-based payment transactions sent and acquired and e-money payment transactions sent, transactions authenticated via non-strong customer authentication are further broken down into the reason why SCA has not been applied.</t>
  </si>
  <si>
    <t>Other than listed instant settlement channels.</t>
  </si>
  <si>
    <t>USED IN BCL CONCEPTS?</t>
  </si>
  <si>
    <t>x</t>
  </si>
  <si>
    <t>Manipulation of the payer to make a card payment/cash withdrawal</t>
  </si>
  <si>
    <t>Manipulation of the payer to make an e-money payment</t>
  </si>
  <si>
    <t>Unauthorised payment transaction (for prepaid cards only)</t>
  </si>
  <si>
    <t>Unauthorised e-money account transaction</t>
  </si>
  <si>
    <t>Payment instrument type</t>
  </si>
  <si>
    <t>Return (SCT)</t>
  </si>
  <si>
    <t>Return (SDD)</t>
  </si>
  <si>
    <t>The Refusal of the Debtor is treated at interbank level either as a Reject (if before the settlement), or as a Refund (if after the settlement).</t>
  </si>
  <si>
    <t>The reporting agent, in its role as a intermediator, executes a payment transaction on behalf of a PSP based in LU.</t>
  </si>
  <si>
    <t>The reporting agent, in its role as a intermediator, executes a payment transaction on behalf of a PSP outside of LU.</t>
  </si>
  <si>
    <t xml:space="preserve">Applies to credit transfers, card-based payment transactions and e-money payment transactions. </t>
  </si>
  <si>
    <t>‘Credit card’ has the same meaning as ‘credit card’ as defined in Article 2(34) of Regulation (EU) 2015/751. For the purposes of the CDDP, delayed debit cards are excluded, as they are reported separately.</t>
  </si>
  <si>
    <t xml:space="preserve">	The distinguishing feature of a card with a delayed debit function, in contrast to a debit or credit card, is the contractual agreement granting a credit line but including an obligation to settle the debt incurred at the end of a pre-defined period without charging interest rates. This type of card is commonly referred to as a ‘charge card’ and is also known as a deferred debit card.</t>
  </si>
  <si>
    <t xml:space="preserve">A payment card having features both of a credit card and a debit card. </t>
  </si>
  <si>
    <t>See also definitions of 'Debit card', 'Delayed debit card', and a 'Credit card'.</t>
  </si>
  <si>
    <t>Card-based instrument for a one-time, unique use.</t>
  </si>
  <si>
    <t xml:space="preserve">ASPSPs, often credit institutions, are institutions that service the PSU’s payment account. </t>
  </si>
  <si>
    <t>The reporting of card-based payment transactions by scheme is broken down separately for each scheme, such as VISA, MasterCard, American Express, Diners Club, China Union Pay, JCB, etc.</t>
  </si>
  <si>
    <t>Payment card type</t>
  </si>
  <si>
    <t>V1.91 E-money transfers (payments)</t>
  </si>
  <si>
    <t>V1.90 Fundings and withdrawals in e-money (except prepaid cards)</t>
  </si>
  <si>
    <t>V1.80 Book entries</t>
  </si>
  <si>
    <t xml:space="preserve">V1.70 Over-the-counter (OTC) cash transactions </t>
  </si>
  <si>
    <t>V1.53 Fundings and withdrawals related to prepaid cards</t>
  </si>
  <si>
    <t>V1.52 Card transactions acquired by resident PSPs (payments)</t>
  </si>
  <si>
    <t>V1.51 Electronic card transactions with cards issued by resident PSPs, split by Merchant Category Codes (MCC)</t>
  </si>
  <si>
    <t>V1.50 Card transactions with cards issued by resident PSPs (payments)</t>
  </si>
  <si>
    <t xml:space="preserve">V1.42 Intermediated payment transactions </t>
  </si>
  <si>
    <t xml:space="preserve">V1.41 Interbank payment transactions </t>
  </si>
  <si>
    <t>V1.40 SEPA R-transactions</t>
  </si>
  <si>
    <t>V1.230 Number of customers</t>
  </si>
  <si>
    <t>V1.222 Stock of accessed accounts - account information services (AIS)</t>
  </si>
  <si>
    <t>V1.210 Stock of terminals by terminal type</t>
  </si>
  <si>
    <t>V1.201 Stock of distributed payment cards</t>
  </si>
  <si>
    <t>V1.200 Stock of issued payment cards</t>
  </si>
  <si>
    <t>V1.110 Payment initiation services (payments)</t>
  </si>
  <si>
    <t>V1.220 Stock of accounts (except e-money accounts)</t>
  </si>
  <si>
    <t>V1.30F</t>
  </si>
  <si>
    <t>V1.40</t>
  </si>
  <si>
    <t>V1.41</t>
  </si>
  <si>
    <t>V1.42</t>
  </si>
  <si>
    <t>V1.60</t>
  </si>
  <si>
    <t>V1.80</t>
  </si>
  <si>
    <t>V1.90</t>
  </si>
  <si>
    <t>V1.91</t>
  </si>
  <si>
    <t>V1.100</t>
  </si>
  <si>
    <t>V1.110</t>
  </si>
  <si>
    <t>V1.200</t>
  </si>
  <si>
    <t>V1.201</t>
  </si>
  <si>
    <t>V1.210</t>
  </si>
  <si>
    <t>V1.220</t>
  </si>
  <si>
    <t>V1.221</t>
  </si>
  <si>
    <t>V1.222</t>
  </si>
  <si>
    <t>V1.230</t>
  </si>
  <si>
    <r>
      <t xml:space="preserve">V1.100 Payment services provided by e-money institutions and payment institutions </t>
    </r>
    <r>
      <rPr>
        <b/>
        <u/>
        <sz val="18.399999999999999"/>
        <color rgb="FFFF0000"/>
        <rFont val="Arial"/>
        <family val="2"/>
      </rPr>
      <t>without</t>
    </r>
    <r>
      <rPr>
        <b/>
        <sz val="16"/>
        <color theme="1"/>
        <rFont val="Arial"/>
        <family val="2"/>
      </rPr>
      <t xml:space="preserve"> the provision of payment accounts</t>
    </r>
  </si>
  <si>
    <t>Table name</t>
  </si>
  <si>
    <t>Dimension value</t>
  </si>
  <si>
    <t>SEPA credit transfers:</t>
  </si>
  <si>
    <t>SEPA direct debits:</t>
  </si>
  <si>
    <t>SCTInst:</t>
  </si>
  <si>
    <t>IRFR</t>
  </si>
  <si>
    <t>IREC</t>
  </si>
  <si>
    <t>A scheme may be qualified as proprietary when it has been designed for a use in a closed network, that is to say on the devices and the terminals of the reporting agent only.</t>
  </si>
  <si>
    <t>Tables concerned</t>
  </si>
  <si>
    <t>Terminal Type</t>
  </si>
  <si>
    <t>All transactions for which the payment details are captured manually on paper vouchers or the imprinter machines.</t>
  </si>
  <si>
    <t>Card payments initiated via mail order or telephone order (MOTO). These are card-not-present transactions.</t>
  </si>
  <si>
    <t>Typical examples of a sales operation include purchase in a supermarket at a POS terminal, or payment for goods in an e-commerce.</t>
  </si>
  <si>
    <t>A refund is a reversal of the original card transaction, following the request of a consumer directly to the merchant. A refund is a separate transaction and cannot be connected to the original transaction. It is thus reported as a separate transaction. The merchant's PSP (initial acquiring PSP) and, where needed, the issuer reports the transaction.</t>
  </si>
  <si>
    <t xml:space="preserve">Cash advances at POS are typically payment transaction where a customer buys a good or service in a shop and wishes to pay for this by using a card at a POS terminal. The customer asks the shop attendant (e.g. supermarket) to also withdraw an amount of cash. The amount of cash to be withdrawn is added to the price of the good or service. The transaction is made – as a single transaction – using the same card at the same time.
It should be noted that only the cash advance is to be reported here. The amount for the payment of goods is to be counted as a card-based payment transaction. </t>
  </si>
  <si>
    <t>using NFC</t>
  </si>
  <si>
    <t>using other technology</t>
  </si>
  <si>
    <t>Contactless transaction</t>
  </si>
  <si>
    <t>A contactless payment using other technology than NFC.</t>
  </si>
  <si>
    <t>Card Not Received</t>
  </si>
  <si>
    <t>Counterfeit card</t>
  </si>
  <si>
    <t>Card details theft</t>
  </si>
  <si>
    <t xml:space="preserve">This fraud type is relevant for card-based payment transactions and e-money payment transactions. For example a merchant creating a fraudulent payment order with card details saved from a previous transaction.  For e-money payment transactions using a card, this fraud origin should be understood as e-money card details theft. In the case of e-money card details theft, the sensitive payment data relates to data on the e-money card. </t>
  </si>
  <si>
    <t>SCOR</t>
  </si>
  <si>
    <t>SB2B</t>
  </si>
  <si>
    <t>EFTPOS</t>
  </si>
  <si>
    <t>EPOS</t>
  </si>
  <si>
    <t>IMPR</t>
  </si>
  <si>
    <t>Concepts</t>
  </si>
  <si>
    <t>Postal order</t>
  </si>
  <si>
    <t xml:space="preserve">Bilateral relation between the creditor and the debtor bank. </t>
  </si>
  <si>
    <r>
      <t xml:space="preserve">This sector includes in particular post offices and </t>
    </r>
    <r>
      <rPr>
        <sz val="11"/>
        <color theme="1"/>
        <rFont val="Arial"/>
        <family val="2"/>
      </rPr>
      <t>central banks.</t>
    </r>
  </si>
  <si>
    <t>The  sector  non-monetary  investment  funds  consists  of  all  collective  investment  schemes, except those classified as monetary funds, which are principally engaged in financial intermediation. Their business is to issue investment fund shares or units which are not close substitutes for deposits, and, on their own account, to make investments primarily in financial assets other than short-term financial assets and in non-financial assets (usually real estate)</t>
  </si>
  <si>
    <t>Only to be used in case the PSP is not aware of the nature of its client.
The reporting of the value "Unknown" should be the exception.</t>
  </si>
  <si>
    <t>The sale or purchase of goods or services, whether between businesses, households, individuals or private organizations, through electronic transactions conducted via the internet or other computer-mediated (online communication) networks. The term covers the ordering of goods and services which are sent over computer networks, but the payment and the ultimate delivery of the goods or service may be conducted either on- or off-line.
In the previous CDDP layouts, these transactions were reported within "(Electronic) single online banking e-payments".</t>
  </si>
  <si>
    <t>WEBB</t>
  </si>
  <si>
    <t>Web banking payment</t>
  </si>
  <si>
    <t>Example: A P2P credit transfer initiated via Digicash should be reported in P2P MPS.</t>
  </si>
  <si>
    <t>Includes transactions at terminals including using contactless technology. Applies to credit transfers, card-based payment transactions and e-money payment transactions. 
These are typically transactions where the consumer and the merchant are face-to-face.</t>
  </si>
  <si>
    <t>The credit transfer was initiated by a customer of the reporting agent, without intervention of a PISP.</t>
  </si>
  <si>
    <t>Please refer to the EPC SEPA Direct Debit Core rulebook.</t>
  </si>
  <si>
    <t>Please refer to the EPC SEPA Direct Debit B2B rulebook.</t>
  </si>
  <si>
    <t>The transactions are reported by the reporting agent in its role of the debtor's PSP.</t>
  </si>
  <si>
    <t>The transactions are reported by the reporting agent in its role of the creditor's PSP.</t>
  </si>
  <si>
    <t>Recall (SCT)</t>
  </si>
  <si>
    <t>Request for recall by the originator</t>
  </si>
  <si>
    <t>Recall (SCTInst)</t>
  </si>
  <si>
    <t>Please refer to the document "Guidance On Reason Codes For SCT Inst R-transactions" by the EPC.</t>
  </si>
  <si>
    <t>Please refer to the document "Guidance On Reason Codes For SCT R-transactions" by the EPC.</t>
  </si>
  <si>
    <t>Please refer to the document "Guidance On Reason Codes For SDD R-transactions" by the EPC.</t>
  </si>
  <si>
    <t>Cash funding or withdrawal on a prepaid card, for example at an ATM or other terminal, or at a counter.</t>
  </si>
  <si>
    <t>Fundings and withdrawals on prepaid cards / e-money accounts:
To be reported when a direct debit (SEPA or not) is used for fundings on or withdrawals from a prepaid card.
Payment services provided by e-money institutions and payment institutions without the provision of payment accounts:
To be reported when a direct debit is executed by the ELMI or PI on behalf of the client.</t>
  </si>
  <si>
    <t>Fundings and withdrawals on prepaid cards / e-money accounts:
To be reported when a credit transfer (SEPA or not) is used for fundings on or withdrawals from a prepaid card.
Payment services provided by e-money institutions and payment institutions without the provision of payment accounts:
To be reported when a credit transfer is executed by the ELMI or PI on behalf of the client.</t>
  </si>
  <si>
    <t>V1.20-F Customer credit transfers sent (fraud)</t>
  </si>
  <si>
    <t>V1.50-F Card transactions with cards issued by resident PSPs (fraud)</t>
  </si>
  <si>
    <t>V1.52-F Card transactions acquired by resident PSPs (fraud)</t>
  </si>
  <si>
    <t>V1.91-F E-money transfers sent (fraud)</t>
  </si>
  <si>
    <t>V1.110-F Payment initiation services (fraud)</t>
  </si>
  <si>
    <t>V1.300-F Losses due to fraud per liability bearer</t>
  </si>
  <si>
    <t>V1.20+V1.20-F</t>
  </si>
  <si>
    <t>V1.50+V1.50-F</t>
  </si>
  <si>
    <t>V1.52+V1.52-F</t>
  </si>
  <si>
    <t>V1.60+V1.60-F</t>
  </si>
  <si>
    <t>V1.91+V1.91-F</t>
  </si>
  <si>
    <t>V1.110+V1.110-F</t>
  </si>
  <si>
    <t>V1.300-F</t>
  </si>
  <si>
    <t>V1.20-F</t>
  </si>
  <si>
    <t>V1.30-F</t>
  </si>
  <si>
    <t>V1.50-F</t>
  </si>
  <si>
    <t>V1.52-F</t>
  </si>
  <si>
    <t>V1.60-F</t>
  </si>
  <si>
    <t>V1.91-F</t>
  </si>
  <si>
    <t>V1.110-F</t>
  </si>
  <si>
    <t>Link to definition</t>
  </si>
  <si>
    <t>Other tables</t>
  </si>
  <si>
    <t>Stocks tables</t>
  </si>
  <si>
    <t>Transactions tables</t>
  </si>
  <si>
    <t>Other sheets</t>
  </si>
  <si>
    <t>Codes</t>
  </si>
  <si>
    <t>Country of terminal</t>
  </si>
  <si>
    <t>Country of acquirer</t>
  </si>
  <si>
    <t>Country of issuer</t>
  </si>
  <si>
    <t>Country of distributor</t>
  </si>
  <si>
    <t>Geo</t>
  </si>
  <si>
    <t>The country code (2 characters) and the currency (3 characters) are the only two dimensions that use less than 4 characters.</t>
  </si>
  <si>
    <t>In the majority of tables, a split by currency is requested. This is to be reported using the ISO 4217 3-letter code.</t>
  </si>
  <si>
    <t>The value of all transactions is always reported by the reporting agent in its own accounting currency. That is, transactions in other currencies must be converted to the accounting currency of the reporting agent before transmission to the BCL.
Example: 
* accounting currency of the reporting agent: EUR
* currency of transaction: USD
The dimension "Currency" will show USD but the actual reported value of this transaction (in the column "Metric") will be converted into EUR.
The country code (2 characters) and the currency (3 characters) are the only two dimensions that use less than 4 characters.</t>
  </si>
  <si>
    <t>In the majority of tables, a geographical split is requested. This is to be reported using the ISO 3166 2-letter code. Some user-defined codes might also be accepted by the BCL. Please contact us in case of questions.</t>
  </si>
  <si>
    <t>The value of the transactions, reported in the accounting currency of the reporting agent.</t>
  </si>
  <si>
    <t>Number of terminals</t>
  </si>
  <si>
    <t>The number of accounts opened by the reporting agent.</t>
  </si>
  <si>
    <t>Number of transactions.</t>
  </si>
  <si>
    <t>Number of terminals offered by the reporting agent.</t>
  </si>
  <si>
    <t>Example: POS terminals, ATM terminals, terminals accepting e-money transactions.</t>
  </si>
  <si>
    <t>Number of customers of the AISPs based in Luxembourg.</t>
  </si>
  <si>
    <t>Cash withdrawal at a physical counter, normally in a bank.</t>
  </si>
  <si>
    <t>Cash deposit at a physical counter, normally in a bank.</t>
  </si>
  <si>
    <t>Only OTC cash transactions on payment accounts should be reported. OTC cash deposits include deposits on own accounts as well as deposits on the account by third parties.</t>
  </si>
  <si>
    <t>Interest</t>
  </si>
  <si>
    <t>Banking fees</t>
  </si>
  <si>
    <t>Loans</t>
  </si>
  <si>
    <t>Securities and investment funds</t>
  </si>
  <si>
    <t>Coupons and dividends</t>
  </si>
  <si>
    <t>Taxes linked to financial assets</t>
  </si>
  <si>
    <t>FOREX transactions</t>
  </si>
  <si>
    <t>Book entry</t>
  </si>
  <si>
    <t>Banking fees cumulated with interest charges and taxes would be reported under “Banking Fees” if booked as a single amount on the customers’ payment accounts.</t>
  </si>
  <si>
    <t xml:space="preserve">Credits to the accounts by simple book entry are not included as credit transfers. Credit book entries could include services related to liquidity management, credit transactions and securities trading related transactions. </t>
  </si>
  <si>
    <r>
      <t xml:space="preserve">Credit transaction initiated by a payment service provider (PSP) (including electronic money issuer) without a specific transaction order and executed by simple book entry (simple book entry means a credit entry, to the account of a customer, without the use of a traditional payment instrument). </t>
    </r>
    <r>
      <rPr>
        <b/>
        <sz val="11"/>
        <color theme="1"/>
        <rFont val="Arial"/>
        <family val="2"/>
      </rPr>
      <t xml:space="preserve">These data are excluded from credit transfers. </t>
    </r>
  </si>
  <si>
    <r>
      <t xml:space="preserve">Debit transaction initiated by a PSP (including electronic money issuer) without a specific transaction order and executed by simple book entry (debit entry) to the account of a customer, i.e. without the use of a traditional payment instrument. </t>
    </r>
    <r>
      <rPr>
        <b/>
        <sz val="11"/>
        <color theme="1"/>
        <rFont val="Arial"/>
        <family val="2"/>
      </rPr>
      <t>These data are excluded from direct debits.</t>
    </r>
  </si>
  <si>
    <t xml:space="preserve">Debits from the accounts by simple book entry are not included as direct debits. A contract for a loan, where it is stated that “due amount is debited from your current account” is not considered a payment transaction order because payment transaction orders are usually provided by the customer. Such transactions are therefore considered as “book entries”. Debits to the account by simple book entry includes debit transactions, securities trading related transactions and confiscation of the account by the government. </t>
  </si>
  <si>
    <t>To be reported in case the balance on a payment card is settled via a simple book entry.
In case the settlement is done via a debit request, this operation should be reported in the table on direct debits.</t>
  </si>
  <si>
    <t>Book entries related to banking fees, such as for provision and maintenance of payment or savings accounts, provision of payment services and instruments, transaction fees, account liquidation fees, etc.</t>
  </si>
  <si>
    <t>If a bank books a loan reimbursement to a customer and the payment account is debited separately for the principal amount and the interest charges, then these are to be reported separately in the different categories ("Loans" and "Interest"). If the reimbursement is debited as a single amount it is to be reported under the category "Loans".</t>
  </si>
  <si>
    <t>Simple book entries related to loan disbursal / reimbursement.</t>
  </si>
  <si>
    <t>Simple book entries related to deduction or credit of interest on the account of the client.</t>
  </si>
  <si>
    <t/>
  </si>
  <si>
    <t>Generally, the item "withdrawal" should be used. However, when only the merchant can hold an e-money account, withdrawals will be reported as "merchant withdrawals".</t>
  </si>
  <si>
    <t>Generally, the item "funding" should be used. However, when only the merchant can hold an e-money account, fundings will be reported as "merchant fundings".</t>
  </si>
  <si>
    <t>Indicates that the e-money is stored on a software based account.</t>
  </si>
  <si>
    <t>Indicates that the e-money is stored on a card-based payment instrument.</t>
  </si>
  <si>
    <t>Funding related to a card transaction, for example following a refund on a payment card. The payment card is not an e-money card.</t>
  </si>
  <si>
    <t>Withdrawal related to a regular card transaction, for example following a payment at a POS or an ATM withdrawal. The payment card is not an e-money card.</t>
  </si>
  <si>
    <t>An e-money transfer between two private persons.</t>
  </si>
  <si>
    <t>An e-money transfer between a merchant and a private person. Purchase includes payments for goods and services.</t>
  </si>
  <si>
    <t>An e-money transfer type is reported as 'Unknown' in case the reporting agent is not able to distinguish P2P and purchase transactions.</t>
  </si>
  <si>
    <t xml:space="preserve">‘electronic money’ as defined in Article 2(2) of Directive 2009/110/EC. </t>
  </si>
  <si>
    <t>To be reported in case the underlying payment instrument is not known. Please contact the BCL in this case.</t>
  </si>
  <si>
    <t xml:space="preserve">Indicates that the Strong Customer Authentication (SCA) was used.
Strong customer authentication (SCA)’ means ‘strong customer authentication’ as defined in Article 4(30) of Directive (EU) 2015/2366.
</t>
  </si>
  <si>
    <t>BCL
Manual on payment statistics (ECB)</t>
  </si>
  <si>
    <t>Instant credit transfer</t>
  </si>
  <si>
    <t>Other credit transfer</t>
  </si>
  <si>
    <t>Other than instant credit transfer.</t>
  </si>
  <si>
    <t>See also definitions of 'Instant' and 'Credit transfer'.</t>
  </si>
  <si>
    <t>Cards which give access to e-money stored on a software based e-money account</t>
  </si>
  <si>
    <t>Cards on which e-money can be stored directly and have been loaded at least once</t>
  </si>
  <si>
    <t>This is a subcategory of the item 'Cards on which e-money can be stored directly'.</t>
  </si>
  <si>
    <t>E-money held on a card in the e-money holder’s possession.</t>
  </si>
  <si>
    <t>Payment cards that allow the card holder to access a software based e-money account.</t>
  </si>
  <si>
    <t>A card that allows the card holder to execute a "contactless transaction".</t>
  </si>
  <si>
    <t>Number of active cards issued or distributed for the customers of the reporting agent.</t>
  </si>
  <si>
    <t>Number of active cards issued for the customers of third parties.</t>
  </si>
  <si>
    <t>Prepaid or e-money cards: the value stored on the prepaid cards at the end of the reporting period. The value is reported in the accounting currency of the reporting agent.</t>
  </si>
  <si>
    <t>ATM with a credit transfer function</t>
  </si>
  <si>
    <t>ATM with a cash withdrawal function</t>
  </si>
  <si>
    <t>ATM accepting contactless transactions</t>
  </si>
  <si>
    <t>ATM with a (un)loading function</t>
  </si>
  <si>
    <t>POS accepting contactless transactions</t>
  </si>
  <si>
    <t>POS accepting e-money card transactions</t>
  </si>
  <si>
    <t>The total number of ATMs belonging to the reporting agent at the end of the reporting period. If the terminal does not belong to a payment service provider, the servicing acquirer reports these terminals.</t>
  </si>
  <si>
    <t>ATM allowing authorised users to initiate payment transactions (including cash withdrawals) using contactless technology.</t>
  </si>
  <si>
    <t xml:space="preserve">ATM allowing authorised users to (un)load a prepaid card or an e-money card.  </t>
  </si>
  <si>
    <t>A point-of-sale terminal, including the 'EFTPOS terminals', or manual terminals such as 'Imprinters'.</t>
  </si>
  <si>
    <t>POS allowing authorised users to initiate payment transactions using contactless technology.</t>
  </si>
  <si>
    <t>E-money transfer</t>
  </si>
  <si>
    <t>An e-money account held by a private customer.</t>
  </si>
  <si>
    <t>The loss resulting from the fraudulent transactions is borne by the reporting PSP.</t>
  </si>
  <si>
    <t>The loss resulting from the fraudulent transactions is borne by the PSU (client) of the reporting PSP.</t>
  </si>
  <si>
    <t>Card-based payment transactions acquired by resident PSPs (except cards with an e-money function only)</t>
  </si>
  <si>
    <t>non-MFIs</t>
  </si>
  <si>
    <t>‘Card-based payment transaction’ means ‘card-based payment transaction’ as defined in Article 2(7) of Regulation EU 2015/751.</t>
  </si>
  <si>
    <t>‘E-money payment transaction’ means a payment transaction using electronic money. See the definition of ‘e-money’.</t>
  </si>
  <si>
    <t>Value, in the reporting currency of the reporting agent, of the loss incurred due to fraud.</t>
  </si>
  <si>
    <t>Cards on which e-money can be stored directly, of which</t>
  </si>
  <si>
    <t xml:space="preserve">V1.20
V1.30
V1.50
V1.52
V1.91
</t>
  </si>
  <si>
    <t xml:space="preserve">V1.20-F
</t>
  </si>
  <si>
    <t xml:space="preserve">V1.20-F
V1.50-F
V1.52-F
V1.91-F
</t>
  </si>
  <si>
    <t xml:space="preserve">V1.50-F
V1.52-F
</t>
  </si>
  <si>
    <t xml:space="preserve">V1.91-F
</t>
  </si>
  <si>
    <t xml:space="preserve">V1.41
</t>
  </si>
  <si>
    <t xml:space="preserve">V1.40
V1.41
V1.42
V1.60
V1.60-F
V1.100
</t>
  </si>
  <si>
    <t xml:space="preserve">V1.40
V1.41
V1.42
V1.60
V1.100
</t>
  </si>
  <si>
    <t xml:space="preserve">V1.40
</t>
  </si>
  <si>
    <t xml:space="preserve">V1.42
</t>
  </si>
  <si>
    <t xml:space="preserve">V1.50
V1.52
</t>
  </si>
  <si>
    <t xml:space="preserve">V1.50-F
V1.52-F
V1.91-F
</t>
  </si>
  <si>
    <t xml:space="preserve">V1.51
</t>
  </si>
  <si>
    <t xml:space="preserve">V1.53
V1.90
</t>
  </si>
  <si>
    <t xml:space="preserve">V1.53
</t>
  </si>
  <si>
    <t xml:space="preserve">V1.53
V1.90
V1.100
</t>
  </si>
  <si>
    <t xml:space="preserve">V1.220
V1.221
V1.222
</t>
  </si>
  <si>
    <t xml:space="preserve">V1.230
</t>
  </si>
  <si>
    <t xml:space="preserve">V1.210
</t>
  </si>
  <si>
    <t xml:space="preserve">V1.70
</t>
  </si>
  <si>
    <t xml:space="preserve">V1.80
</t>
  </si>
  <si>
    <t xml:space="preserve">V1.90
</t>
  </si>
  <si>
    <t xml:space="preserve">V1.100
</t>
  </si>
  <si>
    <t xml:space="preserve">V1.110
</t>
  </si>
  <si>
    <t xml:space="preserve">V1.200
V1.201
</t>
  </si>
  <si>
    <t xml:space="preserve">V1.200
</t>
  </si>
  <si>
    <t xml:space="preserve">V1.200
V1.201
V1.221
</t>
  </si>
  <si>
    <t xml:space="preserve">V1.220
</t>
  </si>
  <si>
    <t xml:space="preserve">V1.221
</t>
  </si>
  <si>
    <t xml:space="preserve">V1.222
V1.230
</t>
  </si>
  <si>
    <t xml:space="preserve">V1.222
</t>
  </si>
  <si>
    <t xml:space="preserve">V1.300-F
</t>
  </si>
  <si>
    <t>A payment transaction using a card or other means where the payer and the merchant (and/or their equipment) are at the same physical location and where the communication between the portable device and the point of sale (POS) takes place through contactless technology. This item is an umbrella category.</t>
  </si>
  <si>
    <t>Other than listed payment card types.</t>
  </si>
  <si>
    <t>Prepaid cards might or not be considered e-money.
Please contact the BCL in case your institution issues prepaid cards.</t>
  </si>
  <si>
    <t>Simple book entries related to coupons and dividends.</t>
  </si>
  <si>
    <t>Simple book entries related to securities and investment funds.</t>
  </si>
  <si>
    <t>Simple book entries related to foreign-exchange operations.</t>
  </si>
  <si>
    <r>
      <t>Simple book entries related to tax payments</t>
    </r>
    <r>
      <rPr>
        <sz val="11"/>
        <color rgb="FFC00000"/>
        <rFont val="Arial"/>
        <family val="2"/>
      </rPr>
      <t>.</t>
    </r>
  </si>
  <si>
    <t>Sheet</t>
  </si>
  <si>
    <t>Note</t>
  </si>
  <si>
    <t>On this sheet we list all changes made to the draft BCL manual on payment statistics since its first version</t>
  </si>
  <si>
    <t>many</t>
  </si>
  <si>
    <t>V1.30 Direct debits - reporting as creditor's PSP (payments)</t>
  </si>
  <si>
    <t>Tables on direct debits: term "bank" replaced with "PSP"</t>
  </si>
  <si>
    <t>Cell highlighted in red (ECB requirement)</t>
  </si>
  <si>
    <t>SCA: not applicable added</t>
  </si>
  <si>
    <t>Date of modification</t>
  </si>
  <si>
    <t>Added codes for fraud tables (previously missing)</t>
  </si>
  <si>
    <t>V1.21 Customer credit transfers received</t>
  </si>
  <si>
    <t>V1.31 Direct debits - reporting as debtor's PSP</t>
  </si>
  <si>
    <t>V1.221 Stock of e-money accounts</t>
  </si>
  <si>
    <t>Title "Stock of software based e-money schemes’ accounts" changed to "Stock of e-money accounts"</t>
  </si>
  <si>
    <t>Cell address (click to follow)</t>
  </si>
  <si>
    <t>The precision "(payments)" was removed from the title of the table</t>
  </si>
  <si>
    <t>Empty columns M and N removed.</t>
  </si>
  <si>
    <t>DBBE</t>
  </si>
  <si>
    <t>CDBE</t>
  </si>
  <si>
    <t>Code changed from DBIT to DBBE</t>
  </si>
  <si>
    <t xml:space="preserve">Code changed from CRDT to CDBE
</t>
  </si>
  <si>
    <t>V1.52-F Operation type: list of possible values corrected</t>
  </si>
  <si>
    <t>Correspondence tables between CDDP5 and CDDP6</t>
  </si>
  <si>
    <t>CDDP5 - valid until and including reference period December 2021</t>
  </si>
  <si>
    <t>CDDP6 - valid starting reference period January 2022</t>
  </si>
  <si>
    <t>Legacy direct debits (debtor's side)</t>
  </si>
  <si>
    <t>SDD transactions - reporting as debtor bank</t>
  </si>
  <si>
    <t>R-transactions - SDD / reporting as debtor bank</t>
  </si>
  <si>
    <t>SDD transactions - reporting as creditor bank</t>
  </si>
  <si>
    <t>R-transactions - SEPA direct debits / reporting as creditor bank</t>
  </si>
  <si>
    <t>Stock taking of payment cards (issued)</t>
  </si>
  <si>
    <t>Stock taking of payment cards (distributed)</t>
  </si>
  <si>
    <t>V1.5.1</t>
  </si>
  <si>
    <t>Card transactions - issuing</t>
  </si>
  <si>
    <t>V1.6.1</t>
  </si>
  <si>
    <t>Card transactions - acquiring</t>
  </si>
  <si>
    <t>Checks and money orders issued</t>
  </si>
  <si>
    <t>Checks and money orders received</t>
  </si>
  <si>
    <t>Stock-taking of software based e-money schemes' accounts</t>
  </si>
  <si>
    <t>V1.8.2</t>
  </si>
  <si>
    <t>Stock-taking of terminals accepting e-money schemes</t>
  </si>
  <si>
    <t>V1.9.1</t>
  </si>
  <si>
    <t>Stock taking of card based e-money schemes</t>
  </si>
  <si>
    <t>V1.9.2</t>
  </si>
  <si>
    <t>Stock taking of terminals accepting e-money schemes</t>
  </si>
  <si>
    <t>V1.9.3</t>
  </si>
  <si>
    <t>E-money fundings and withdrawals in card based schemes</t>
  </si>
  <si>
    <t>V1.9.4</t>
  </si>
  <si>
    <t>E-money transfers in card based schemes</t>
  </si>
  <si>
    <t>V1.10.1</t>
  </si>
  <si>
    <t>V1.11.1</t>
  </si>
  <si>
    <t>OTC cash transactions</t>
  </si>
  <si>
    <t>V1.12.1</t>
  </si>
  <si>
    <t>V1.13.1</t>
  </si>
  <si>
    <t>V1.14.1</t>
  </si>
  <si>
    <t>V1.15.1</t>
  </si>
  <si>
    <t>Stock-taking of accounts issued by ELMIs/PIs</t>
  </si>
  <si>
    <t>V1.15.3</t>
  </si>
  <si>
    <t>Transfers on accounts issued by ELMIs &amp; Pis (payment accounts)</t>
  </si>
  <si>
    <t>Transfers on accounts issued by ELMIs &amp; Pis (accounts with limited function)</t>
  </si>
  <si>
    <t>V1.15.6</t>
  </si>
  <si>
    <t>Activities of ELMIs and PIs offering payment initiation services or payment services without the provision of an account</t>
  </si>
  <si>
    <t>Correspondence</t>
  </si>
  <si>
    <t>Sheet "Correspondence" added</t>
  </si>
  <si>
    <t>CDDP5 order</t>
  </si>
  <si>
    <t>CDDP5 table code</t>
  </si>
  <si>
    <t>CDDP5 table name</t>
  </si>
  <si>
    <t>CDDP6 table code</t>
  </si>
  <si>
    <t>CDDP6 table name</t>
  </si>
  <si>
    <t>CDDP6 order</t>
  </si>
  <si>
    <t>"Current" changed to CDDP5</t>
  </si>
  <si>
    <t>"Future" changed to CDDP6</t>
  </si>
  <si>
    <t>Examples</t>
  </si>
  <si>
    <t>STEP2</t>
  </si>
  <si>
    <t>Several reporting examples added.</t>
  </si>
  <si>
    <t>Note added</t>
  </si>
  <si>
    <t>Minor edit: removed (payments) from the title to align with the correct name of the table</t>
  </si>
  <si>
    <t>Minor edit: aligned name with the correct table name</t>
  </si>
  <si>
    <t>Added hyperlinks to all CDDP6 tables</t>
  </si>
  <si>
    <t>For ELMIs and PIs only.
A technical account is not a payment account in the PSD2 sense, and the clients cannot execute payment transactions from or to this account. It is held for internal accounting purposes only.</t>
  </si>
  <si>
    <t>Definition of "Technical account" changed</t>
  </si>
  <si>
    <t>payment card scheme "Mastercard - Maestro" removed</t>
  </si>
  <si>
    <t>payment card scheme "VISA Debit" removed</t>
  </si>
  <si>
    <t>Concept "Chargeback" removed</t>
  </si>
  <si>
    <t>Operation type "Chargeback" removed</t>
  </si>
  <si>
    <t>Sales (credit)</t>
  </si>
  <si>
    <t>Concept "Sales (credit)" added</t>
  </si>
  <si>
    <t>A debit operation on the payment card, following a purchase.</t>
  </si>
  <si>
    <t>SALC</t>
  </si>
  <si>
    <t>Operation type "Sales (credit)", code "SALC", added</t>
  </si>
  <si>
    <t>Minor edit: concept "Sales"</t>
  </si>
  <si>
    <t>Minor edit: "Country of the terminal" changed to "Country of terminal"</t>
  </si>
  <si>
    <t>V1.30-F Direct debits - reporting as creditor's PSP (fraud)</t>
  </si>
  <si>
    <t>Minor edit: V1.30F changed to V1.30-F</t>
  </si>
  <si>
    <t>V1.30+V1.30-F</t>
  </si>
  <si>
    <t>Modifications</t>
  </si>
  <si>
    <t>Sheet "Modifications" added to the INDEX</t>
  </si>
  <si>
    <t>Sheet renamed from "V1.30" to "V1.30+V1.30-F". INDEX updated accordingly.</t>
  </si>
  <si>
    <t>Code list updated (inclusion of V1.30-F)</t>
  </si>
  <si>
    <t>Sheet "Customer category" added to INDEX</t>
  </si>
  <si>
    <t>╠╗ Issuance of a payment order by the fraudster:</t>
  </si>
  <si>
    <t>Fraud type: presentation changed to align with the ECB regulation, no codes edited or added</t>
  </si>
  <si>
    <t>╠╗ Issuance of a payment order / cash withdrawal by the fraudster:</t>
  </si>
  <si>
    <t>Note:</t>
  </si>
  <si>
    <t>The losses are to be reported for domestic and cross-border transactions combined.</t>
  </si>
  <si>
    <t xml:space="preserve">Defined in Article 4(19) of Directive (EU) 2015/2366. </t>
  </si>
  <si>
    <t>Minor edit</t>
  </si>
  <si>
    <t>PSD2</t>
  </si>
  <si>
    <t>Definition of PSU added</t>
  </si>
  <si>
    <t>Account information service (AIS)</t>
  </si>
  <si>
    <t>Defined in Article 4(16) of Directive (EU) 2015/2366.</t>
  </si>
  <si>
    <t>Definition of Account information service (AIS) added</t>
  </si>
  <si>
    <t>ATM with a cash withdrawal function: source changed from BCL to ECB Manual</t>
  </si>
  <si>
    <t>ATM with a cash withdrawal function: definition expanded</t>
  </si>
  <si>
    <t>ATM with a credit transfer function: definition expanded</t>
  </si>
  <si>
    <t>Non-SCA used - definition expanded</t>
  </si>
  <si>
    <t>Payment card: source changed from BCL to Manual on payment statistics (ECB)</t>
  </si>
  <si>
    <t xml:space="preserve">Same meaning as ‘Card-based payment instrument’ as defined in Article 2(20) of Regulation EU 2015/751. </t>
  </si>
  <si>
    <t>Payment card definition: minor edit</t>
  </si>
  <si>
    <t>V1.91
V1.91-F</t>
  </si>
  <si>
    <t>E-money transfer - tables concerned added</t>
  </si>
  <si>
    <t>AIS: tables concerned added</t>
  </si>
  <si>
    <t>Direct participant</t>
  </si>
  <si>
    <t>Direct participant - definition added</t>
  </si>
  <si>
    <t>Point of sale (POS) - tables concerned added</t>
  </si>
  <si>
    <t>Indirect participant</t>
  </si>
  <si>
    <t>Indirect participant - definition added</t>
  </si>
  <si>
    <t>Metric is the actual reported number. The following metric types are accepted:
Volume - number of transactions, accounts, or customers.
Value - the value of payment or fraudulent transactions, reported in the accounting currency of the reporting agent.
Float - balance on the e-money account, e-money card, or prepaid card.</t>
  </si>
  <si>
    <t>Metric - "clients" replaced with "customers"</t>
  </si>
  <si>
    <t xml:space="preserve">AISPs and credit institutions when acting as AISPs report the number of clients who have signed up for account information services and who were clients on the last day of the reporting period, whether those clients have used the services or not. </t>
  </si>
  <si>
    <t>The term "money order" changed to "money remittance"</t>
  </si>
  <si>
    <t>Money remittance</t>
  </si>
  <si>
    <t xml:space="preserve">Defined in Article 4(22) of Directive (EU) 2015/2366. </t>
  </si>
  <si>
    <t>Money remittance: definition updated</t>
  </si>
  <si>
    <t>Money remittances are not reported as credit transfers, nor included in the reporting of other payment services as they are reported separately. Money remittances are not limited to remittances involving cash, but usually involve cash on either end of the transaction (hence, also cashless funding of remittance transactions is possible and is therefore to be included in the reporting). The defining feature of a remittance is the fact that funds are received from a payer without any payment accounts being created in the name of the payer or the payee,
Example: Some people who do not have access to a bank account but need to pay a bill to the state or a company. Those people can go to certain banks, pay the amount due together with a credit transfer form. The bank will then forward the money to the respective account.</t>
  </si>
  <si>
    <t>Term "money order" changed to "money remittance"</t>
  </si>
  <si>
    <t>V1.60 Cheques and money remittances (payments)</t>
  </si>
  <si>
    <t>MREM</t>
  </si>
  <si>
    <t>Code MNOR changed to MREM</t>
  </si>
  <si>
    <t>Underlying payment instrument: money remittance added</t>
  </si>
  <si>
    <t>Definition of Money remittance (Underlying payment instrument) added</t>
  </si>
  <si>
    <t xml:space="preserve">Postal order refers to a cheque in use with the POST. </t>
  </si>
  <si>
    <t>Postal order: minor edit</t>
  </si>
  <si>
    <t>Contactless transaction using NFC</t>
  </si>
  <si>
    <t>V1.50+V1.50-F several examples added</t>
  </si>
  <si>
    <t xml:space="preserve">Note: the merchant does not receive e-money </t>
  </si>
  <si>
    <t>V1.90 several reporting examples added</t>
  </si>
  <si>
    <t>Note: P2P transactions are always remote.</t>
  </si>
  <si>
    <t>Note: MIT are always remote.</t>
  </si>
  <si>
    <t>V1.91+V1.91-F several reporting examples added</t>
  </si>
  <si>
    <t xml:space="preserve">Note: The tables V1.52 and V1.52-F should be reported as well </t>
  </si>
  <si>
    <t xml:space="preserve">Note: The tables V1.50, V1.50-F and V1.200 should be reported as well </t>
  </si>
  <si>
    <t>V1.100: several reporting examples added</t>
  </si>
  <si>
    <t>DE (or LU)</t>
  </si>
  <si>
    <t>BE</t>
  </si>
  <si>
    <t>V1.110: reporting examples added</t>
  </si>
  <si>
    <t>DE</t>
  </si>
  <si>
    <t>FR</t>
  </si>
  <si>
    <t>V1.222: reporting examples added</t>
  </si>
  <si>
    <t>V1.300-F: reporting examples added</t>
  </si>
  <si>
    <t>Link to introduction added</t>
  </si>
  <si>
    <t>Scope of the reporting</t>
  </si>
  <si>
    <t>Introduction added</t>
  </si>
  <si>
    <t>Fraud type "Unauthorised payment transaction (for prepaid cards only)" removed from the tables V1.50-F and V1.52-F</t>
  </si>
  <si>
    <t>V1.110+V1.110-F dimension "Legal framework" removed</t>
  </si>
  <si>
    <t>V1.110 Notes removed</t>
  </si>
  <si>
    <t>The concept "Technical service provider" removed</t>
  </si>
  <si>
    <t>PISP, Concept type "Legal framework" changed to "General"</t>
  </si>
  <si>
    <t>Note on transfers to and from TARGET2 reserve account added.</t>
  </si>
  <si>
    <t>All credit transfers initiated via a PISP should be reported with initiation type = PISP.</t>
  </si>
  <si>
    <t>Minor error: "channel" replaced with "type"</t>
  </si>
  <si>
    <t>A example on Multiline added.</t>
  </si>
  <si>
    <t>Other MPS: red colour removed</t>
  </si>
  <si>
    <t>initiation channel POS MPS removed</t>
  </si>
  <si>
    <t>Debit operations:</t>
  </si>
  <si>
    <t>OTHD</t>
  </si>
  <si>
    <t>Credit operations:</t>
  </si>
  <si>
    <t>OTHC</t>
  </si>
  <si>
    <t>╚═ Other debit operation</t>
  </si>
  <si>
    <t>╚═ Other credit operation</t>
  </si>
  <si>
    <t>The order of items in Operation type has been changed (new split by debit vs credit operations)</t>
  </si>
  <si>
    <t>The operation type previously called "Other" is now called "Other debit operation"</t>
  </si>
  <si>
    <t>New operation type "Other credit operation"</t>
  </si>
  <si>
    <t>Operation type order changed, to mirror table V1.52</t>
  </si>
  <si>
    <t>Operation type ATM cash deposit removed from V1.52-F</t>
  </si>
  <si>
    <t>Operation type order changed, to mirror table V1.50</t>
  </si>
  <si>
    <t>Operation type ATM cash deposit removed from V1.50-F</t>
  </si>
  <si>
    <t>Credit transfer: Mobile payment solution includes remotely initiated transactions via digital wallets, C2B and P2P mobile payment solution.
Example: A credit transfer initiated via Digicash might be reported in P2P MPS or Other MPS.
See also definitions of 'P2P MPS', 'Other MPS'.
Card-based payment transaction: Only includes remote transactions. Non-remote transactions (e.g. initiated at EFTPOS) are reported according to the terminal used.</t>
  </si>
  <si>
    <t>Reference to POS MPS removed</t>
  </si>
  <si>
    <t>Concept POS MPS removed</t>
  </si>
  <si>
    <t>All payment service providers (PSPs) and branches located in Luxembourg are required to report their payment activity to the BCL. The reporting framework concerns both stocks (i.e. balance at the end of a reference period) and flows (i.e. the number and value of payment transactions throughout the whole reference period).</t>
  </si>
  <si>
    <t>The present data collection includes, for the first time, tables on fraudulent transactions as required by the "Final report on fraud reporting guidelines under PSD2" (EBA/GL/2018/05 as amended by the Guidelines EBA/GL/2020/01). The data are transmitted, as part of "single data flow", to the ECB, and subsequently by the ECB to the EBA. The reporting PSPs may thus benefit from a single reporting framework covering the needs of multiple oversight organisations.</t>
  </si>
  <si>
    <t xml:space="preserve">The CDDP reporting framework covers all payment transactions and instruments covered by the ECB regulation on payment statistics ECB/2020/59, namely: </t>
  </si>
  <si>
    <t>* Customer credit transfers (payments and fraud)</t>
  </si>
  <si>
    <t>* Direct debits reported by the creditor's PSP (payments and fraud)</t>
  </si>
  <si>
    <t>* Card transactions with cards issued in Luxembourg</t>
  </si>
  <si>
    <t>* Card transactions acquired by resident PSPs</t>
  </si>
  <si>
    <t>* Cheques and money remittances (payments and fraud)</t>
  </si>
  <si>
    <t xml:space="preserve">* OTC cash transactions </t>
  </si>
  <si>
    <t>* Book entries</t>
  </si>
  <si>
    <t>* E-money transfers (payments and fraud)</t>
  </si>
  <si>
    <t>* Payment initiation services (payments and fraud)</t>
  </si>
  <si>
    <t>* Account information services</t>
  </si>
  <si>
    <t>* Losse due to fraud per liability bearer</t>
  </si>
  <si>
    <t>* SEPA R-transactions</t>
  </si>
  <si>
    <t>* Interbank payment transactions</t>
  </si>
  <si>
    <t>* Intermediated payment transactions</t>
  </si>
  <si>
    <t>* Fundings and withdrawals related to prepaid cards</t>
  </si>
  <si>
    <t>* Fundings and withdrawals in e-money (except prepaid cards)</t>
  </si>
  <si>
    <t>* Payment services provided by e-money institutions and payment institutions without the provision of payment accounts</t>
  </si>
  <si>
    <t xml:space="preserve">Statistical requirements following from the ECB regulation ECB/2020/59 </t>
  </si>
  <si>
    <t>Other statistical requirements</t>
  </si>
  <si>
    <t>All own account operations, regardless of whether initiated from internal account or from an account held at another PSP, are reported in this table.</t>
  </si>
  <si>
    <t>Note removed, see “Concepts” for the definitions</t>
  </si>
  <si>
    <t>Title of V1.60-F changed (added “sent”)</t>
  </si>
  <si>
    <t>Go back to INDEX added in the first cell</t>
  </si>
  <si>
    <t>Country of debtor's PSP = LU in table V1.60-F</t>
  </si>
  <si>
    <t>definition of own account operation updated</t>
  </si>
  <si>
    <t>Payment systems Target2, Euro1, Step1, Step2, Equens, TIPS, RT1 removed from “Concepts”</t>
  </si>
  <si>
    <t>╠═ Euro1</t>
  </si>
  <si>
    <t>╠═ Step1</t>
  </si>
  <si>
    <t>╠═ Step2</t>
  </si>
  <si>
    <t>╠═ Equens</t>
  </si>
  <si>
    <t>║╠═ TIPS</t>
  </si>
  <si>
    <t>║╠═ RT1</t>
  </si>
  <si>
    <t>Links to Target2, Euro1, Step1, Step2, Equens, TIPS, RT1 in “Concepts” removed.</t>
  </si>
  <si>
    <t>Concept ATM or other PSP terminal: Link to ATM added</t>
  </si>
  <si>
    <t>Payment institution* / Other non-MFI</t>
  </si>
  <si>
    <t>Note on payment institutions added</t>
  </si>
  <si>
    <t>Payment transactions for which the exception in Article 16 of the Commission Delegated Regulation (EU) 2018/389 applies.</t>
  </si>
  <si>
    <t>Low value (SCA): minor edit</t>
  </si>
  <si>
    <t xml:space="preserve">The split by fraud type is only requested in the tables dedicated to fraudulent transactions (suffix "-F"). </t>
  </si>
  <si>
    <t>Concept Not applicable (fraud type) clarified</t>
  </si>
  <si>
    <t xml:space="preserve">This fraud type is relevant for direct debits and e-money account transactions. </t>
  </si>
  <si>
    <t>Unautharised payment transaction: example on direct debits moved from concepts to V1.30-F</t>
  </si>
  <si>
    <t>minor edit: V1.30F replaced with V1.30-F</t>
  </si>
  <si>
    <t>For direct debit frauds, an unauthorised payment transaction is for example a payment transaction where the fraudster obtains the IBAN of the PSU and uses it to issue a fraudulent direct debit mandate in order to pay its own electricity bill via a direct debit.</t>
  </si>
  <si>
    <t>Customer credit transfer (Payment instrument type): Concept added</t>
  </si>
  <si>
    <t>Interbank credit transfer (Payment instrument type): Definition clarified</t>
  </si>
  <si>
    <t>Payment transaction involving non-MFIs</t>
  </si>
  <si>
    <t>Payment transaction involving non-MFIs (General): definition added</t>
  </si>
  <si>
    <t>See also definitions of 'Credit transfer' (Payment instrument type) and 'Payment transaction involving non-MFIs' (General).</t>
  </si>
  <si>
    <t>See also definitions of 'Direct debit' (Payment instrument type) and 'Payment transaction involving non-MFIs' (General).</t>
  </si>
  <si>
    <t>Payment card brands Mastercard, VISA - Vpay, VISA, China UnionPay, Japan Credit Bureau (JCB), American Express, Diner's club: links to concepts removed.</t>
  </si>
  <si>
    <t>Payment card brands Mastercard, VISA - Vpay, VISA, China UnionPay, Japan Credit Bureau (JCB), American Express, Diner's club removed from Concepts.</t>
  </si>
  <si>
    <t>A commercial payment transaction received on the payment card (credited to the card).</t>
  </si>
  <si>
    <t>Sales (credit) , concept type: Operation type, definition clarified, additional details added</t>
  </si>
  <si>
    <t>Transfer of a monetary value serving as a deposit on the prepaid card/the e-money account.</t>
  </si>
  <si>
    <t xml:space="preserve">Transfer of a monetary value which consists of a withdrawal from the prepaid card/ the e-money account. </t>
  </si>
  <si>
    <t>Funding/withdrawal: concept clarified as it also refers to e-money accounts.</t>
  </si>
  <si>
    <t>PISP means a PSP pursuing business activities by triggering payments on behalf of the payer, which are not operated by the PISP itself, but by the ASPSP of the payer. 
For more information, see the following infographic by Banco de Portugal: 
https://www.bportugal.pt/en/page/account-information-services-and-payment-initiation-services</t>
  </si>
  <si>
    <t>PISP: link to infographic by Banco de Portugal added.</t>
  </si>
  <si>
    <t>A provider of a service that enables payment service users (PSUs) to gain an overview of payment accounts held at one or multiple ASPSPs. Additional features can be provided, e.g. aggregation of balances, overview of consumption, or account information services for credit rating. AISPs report the number of their clients. As credit institutions can also provide account information services, they report the number of their clients when acting as AISP. In addition ASPSPs should report the number of payment accounts accessed by AISPs during the reference period. For reporting purposes each account is counted only once even if it is accessed multiple times, but accounts must be accessed at least once in the reference period to be included in the reporting.
For more information, see the following infographic by Banco de Portugal: 
https://www.bportugal.pt/en/page/account-information-services-and-payment-initiation-services</t>
  </si>
  <si>
    <t>AISP: link to infographic by Banco de Portugal added.</t>
  </si>
  <si>
    <t>Payment card type "Cards which give access to e-money stored on a software based e-money account" added</t>
  </si>
  <si>
    <t>Initiation channel “Other online banking payment” removed</t>
  </si>
  <si>
    <t>Definition for initiation channel “Other online banking payment” removed</t>
  </si>
  <si>
    <t>Example, minor edit</t>
  </si>
  <si>
    <t>Example, initiation channel “Other online banking payment” replaced with “Web banking payment”</t>
  </si>
  <si>
    <t>CNTR</t>
  </si>
  <si>
    <t>RMTR</t>
  </si>
  <si>
    <t>Initiation channel "Card transaction without using contactless technology" removed</t>
  </si>
  <si>
    <t>Initiation channel "Contact-based transaction" added</t>
  </si>
  <si>
    <t>Initiation channel "Remote card transaction" added</t>
  </si>
  <si>
    <t>Contact-based transaction</t>
  </si>
  <si>
    <t>Concept "Contact-based transaction" added</t>
  </si>
  <si>
    <t>A non-remotely initiated card transaction (e.g. at a POS), using magnetic stripe, inserting the card in the terminal, without using contactless technology such as NFC or similar.</t>
  </si>
  <si>
    <t>Remote card transaction</t>
  </si>
  <si>
    <t>A remotely initiated card transaction (e.g. at e-commerce, or via MOTO).</t>
  </si>
  <si>
    <t>All remote card transactions using mobile payment solutions (MPS) are reported with the initiation channels “P2P MPS” or “Other MPS”.</t>
  </si>
  <si>
    <t>Concept "Remote card transaction" added</t>
  </si>
  <si>
    <t>Initiation channel Contact-based transaction added</t>
  </si>
  <si>
    <t>Initiation channel Remote card transaction added</t>
  </si>
  <si>
    <t>This category includes transactions where the online banking platform is accessed via web browsers, or the mobile online banking app of a PSP. Credit transfers initiated by PISPs via the ASPSP’s online banking platform are also included here.
For ELMI/PIs: 
transactions initiated via ELMI/PI's web interface are reported here.</t>
  </si>
  <si>
    <t>Web banking payment (initiation channel): note on ELMI/PIs added</t>
  </si>
  <si>
    <t>Manual on payment statistics (ECB)
BCL</t>
  </si>
  <si>
    <t>For the purposes of CDDP, Payment institutions are considered as MFIs (moved from non-MFIs to MFIs).</t>
  </si>
  <si>
    <t>Credit transfer where both the debtor and the creditor are credit institutions.</t>
  </si>
  <si>
    <t>Direct debits where both the debtor and the creditor are credit institutions.</t>
  </si>
  <si>
    <t>“Ordering party” replaced with “debtor”, “beneficiary” replaced with “creditor”</t>
  </si>
  <si>
    <t>Transfer initiated electronically as a group of transfers where all the transfers have been initiated together by the debtor (credit transfers) or creditor (direct debits). Each transfer of the file batch has to be reported individually.</t>
  </si>
  <si>
    <t>“Ordering party” replaced with “debtor” / “creditor”</t>
  </si>
  <si>
    <t>To be reported when both the debtor and the creditor hold accounts at the same PSP.</t>
  </si>
  <si>
    <t>"Beneficiary” replaced with “creditor”</t>
  </si>
  <si>
    <t>* Stock of issued payment cards</t>
  </si>
  <si>
    <t>* Stock of terminals by terminal type</t>
  </si>
  <si>
    <t>* Stock of accounts (except e-money accounts)</t>
  </si>
  <si>
    <t>* Stock of e-money accounts</t>
  </si>
  <si>
    <t>* Stock of accessed accounts - account information services (AIS)</t>
  </si>
  <si>
    <t>* Number of customers</t>
  </si>
  <si>
    <t>Transaction tables</t>
  </si>
  <si>
    <t>Stock tables</t>
  </si>
  <si>
    <t>* Stock of distributed payment cards</t>
  </si>
  <si>
    <t xml:space="preserve">V1.20
V1.20-F
V1.21
V1.30
V1.30-F
V1.31
V1.40
V1.41
V1.42
</t>
  </si>
  <si>
    <t xml:space="preserve">V1.20
V1.20-F
V1.40
</t>
  </si>
  <si>
    <t xml:space="preserve">V1.20
V1.20-F
V1.30
V1.30-F
V1.31
</t>
  </si>
  <si>
    <t xml:space="preserve">V1.20
V1.20-F
</t>
  </si>
  <si>
    <t xml:space="preserve">V1.20
V1.20-F
V1.30
V1.30-F
</t>
  </si>
  <si>
    <t xml:space="preserve">V1.20
V1.20-F
V1.50
V1.50-F
V1.52
V1.52-F
V1.91
V1.91-F
</t>
  </si>
  <si>
    <t xml:space="preserve">V1.20
V1.20-F
V1.50
V1.50-F
V1.51
V1.52
V1.52-F
V1.91
V1.91-F
V1.110
V1.110-F
</t>
  </si>
  <si>
    <t xml:space="preserve">V1.20
V1.20-F
V1.50
V1.50-F
V1.52
V1.52-F
V1.91
V1.91-F
V1.110
V1.110-F
</t>
  </si>
  <si>
    <t xml:space="preserve">V1.20
V1.20-F
V1.91
V1.91-F
</t>
  </si>
  <si>
    <t xml:space="preserve">V1.20
V1.20-F
V1.50
V1.50-F
V1.91
V1.91-F
</t>
  </si>
  <si>
    <t xml:space="preserve">V1.20
V1.20-F
V1.21
V1.30
V1.30-F
V1.31
V1.40
V1.41
V1.42
V1.50
V1.50-F
V1.51
V1.52
V1.52-F
V1.60
V1.60-F
V1.90
V1.91
V1.91-F
V1.110
V1.110-F
V1.200
V1.201
V1.210
V1.221
V1.222
V1.230
</t>
  </si>
  <si>
    <t xml:space="preserve">V1.20
V1.20-F
V1.21
V1.30
V1.30-F
V1.31
V1.40
V1.41
V1.42
V1.50
V1.50-F
V1.52
V1.52-F
V1.53
V1.60
V1.60-F
V1.70
V1.80
V1.90
V1.91
V1.91-F
V1.110
V1.110-F
V1.221
</t>
  </si>
  <si>
    <t xml:space="preserve">V1.20
V1.20-F
V1.21
V1.30
V1.30-F
V1.31
V1.40
V1.41
V1.42
V1.50
V1.50-F
V1.51
V1.52
V1.52-F
V1.53
V1.60
V1.60-F
V1.70
V1.80
V1.90
V1.91
V1.91-F
V1.100
V1.110
V1.110-F
</t>
  </si>
  <si>
    <t xml:space="preserve">V1.30
V1.30-F
V1.31
V1.40
</t>
  </si>
  <si>
    <t xml:space="preserve">V1.30
V1.30-F
</t>
  </si>
  <si>
    <t xml:space="preserve">V1.30-F
</t>
  </si>
  <si>
    <t xml:space="preserve">V1.50
V1.50-F
V1.52
V1.52-F
V1.200
V1.201
</t>
  </si>
  <si>
    <t xml:space="preserve">V1.50
V1.50-F
V1.52
V1.52-F
V1.53
V1.200
V1.201
</t>
  </si>
  <si>
    <t xml:space="preserve">V1.50
V1.50-F
V1.52
V1.52-F
</t>
  </si>
  <si>
    <t xml:space="preserve">V1.50
V1.50-F
V1.51
V1.52
V1.52-F
</t>
  </si>
  <si>
    <t xml:space="preserve">V1.50
V1.50-F
V1.52
V1.52-F
V1.91
V1.91-F
</t>
  </si>
  <si>
    <t xml:space="preserve">V1.60
V1.60-F
</t>
  </si>
  <si>
    <t xml:space="preserve">V1.90
V1.91
V1.91-F
V1.221
</t>
  </si>
  <si>
    <t xml:space="preserve">V1.91
V1.91-F
</t>
  </si>
  <si>
    <t xml:space="preserve">V1.110
V1.110-F
</t>
  </si>
  <si>
    <r>
      <t xml:space="preserve">A payment transaction involving non-MFIs on either one or both ends of a transaction (i.e. the debtor or the creditor, or both, are non-MFIs). 
For the purposes of the CDDP, the following is a list of MFIs and non-MFIs.
</t>
    </r>
    <r>
      <rPr>
        <b/>
        <sz val="11"/>
        <color theme="1"/>
        <rFont val="Arial"/>
        <family val="2"/>
      </rPr>
      <t>MFIs:</t>
    </r>
    <r>
      <rPr>
        <sz val="11"/>
        <color theme="1"/>
        <rFont val="Arial"/>
        <family val="2"/>
      </rPr>
      <t xml:space="preserve">
* Credit institutions
* Monetary funds
* Electronic money institutions
* Payment institutions (as required by the ECB, PIs are classified as MFIs for the purposes of payment statistics)
* Other MFIs
</t>
    </r>
    <r>
      <rPr>
        <b/>
        <sz val="11"/>
        <color theme="1"/>
        <rFont val="Arial"/>
        <family val="2"/>
      </rPr>
      <t>Non-MFIs:</t>
    </r>
    <r>
      <rPr>
        <sz val="11"/>
        <color theme="1"/>
        <rFont val="Arial"/>
        <family val="2"/>
      </rPr>
      <t xml:space="preserve">
* Non-monetary funds
* Households and NPISHs
* Non-financial corporations
* Other non-MFI
See also sheet “Customer category” for more details.
</t>
    </r>
  </si>
  <si>
    <t>Merchant category codes (MCC)</t>
  </si>
  <si>
    <t>0742</t>
  </si>
  <si>
    <t>Veterinary services</t>
  </si>
  <si>
    <t>0743</t>
  </si>
  <si>
    <t>Wine producers</t>
  </si>
  <si>
    <t>0744</t>
  </si>
  <si>
    <t>Champagne producers</t>
  </si>
  <si>
    <t>0763</t>
  </si>
  <si>
    <t>Agricultural Cooperatives</t>
  </si>
  <si>
    <t>0780</t>
  </si>
  <si>
    <t>Landscaping and horticultural services</t>
  </si>
  <si>
    <t>Dia (Spain)-Hypermarkets of Food</t>
  </si>
  <si>
    <t>H&amp;M Moda (Spain)-Retail Merchants</t>
  </si>
  <si>
    <t>General contractors — residential and commercial</t>
  </si>
  <si>
    <t>Heating, plumbing and air-conditioning contractors</t>
  </si>
  <si>
    <t>Electrical contractors</t>
  </si>
  <si>
    <t>Masonry, stonework, tile setting, plastering and insulation contractors</t>
  </si>
  <si>
    <t>Carpentry contractors</t>
  </si>
  <si>
    <t>Roofing, siding and sheet metal work contractors</t>
  </si>
  <si>
    <t>Concrete work contractors</t>
  </si>
  <si>
    <t>Special trade contractors — not elsewhere classified</t>
  </si>
  <si>
    <t>Miscellaneous publishing and printing services</t>
  </si>
  <si>
    <t>Typesetting, platemaking and related services</t>
  </si>
  <si>
    <t>Speciality cleaning, polishing and sanitation preparations</t>
  </si>
  <si>
    <t>G300</t>
  </si>
  <si>
    <t>Airlines (codes between 3000 and 3350)</t>
  </si>
  <si>
    <t>G335</t>
  </si>
  <si>
    <t>Car rentals (codes between 3351 and 3500)</t>
  </si>
  <si>
    <t>G350</t>
  </si>
  <si>
    <t>Hotels (codes between 3501 and 3999)</t>
  </si>
  <si>
    <t>Railroads</t>
  </si>
  <si>
    <t>Local and suburban commuter passenger transportation, including ferries</t>
  </si>
  <si>
    <t>Passenger railways</t>
  </si>
  <si>
    <t>Ambulance Services</t>
  </si>
  <si>
    <t>Taxi-cabs and limousines</t>
  </si>
  <si>
    <t>Bus Lines</t>
  </si>
  <si>
    <t>Motor freight carriers and trucking — local and long distance, moving and storage companies and local delivery</t>
  </si>
  <si>
    <t>Courier services — air and ground and freight forwarders</t>
  </si>
  <si>
    <t>Public warehousing and storage — farm products, refrigerated goods and household goods</t>
  </si>
  <si>
    <t>Steamships and cruise lines</t>
  </si>
  <si>
    <t>Boat Rentals and Leasing</t>
  </si>
  <si>
    <t>Marinas, marine service and supplies</t>
  </si>
  <si>
    <t>Airlines and Air Carriers (Not Elsewhere Classified)</t>
  </si>
  <si>
    <t>Airports, Flying Fields, and Airport Terminals</t>
  </si>
  <si>
    <t>Travel agencies and tour operators</t>
  </si>
  <si>
    <t>Package Tour Operators – Germany Only</t>
  </si>
  <si>
    <t>Tolls and bridge fees</t>
  </si>
  <si>
    <t>Transportation services — not elsewhere classified</t>
  </si>
  <si>
    <t>Telecommunication equipment and telephone sales</t>
  </si>
  <si>
    <t>Key-entry Telecom Merchant providing single local and long-distance phone calls using a central access number in a non–face-to-face environment using key entry</t>
  </si>
  <si>
    <t>Telecommunication services, including local and long distance calls, credit card calls, calls through use of magnetic stripe reading telephones and faxes</t>
  </si>
  <si>
    <t>Monthly summary telephone charges</t>
  </si>
  <si>
    <t>Computer network/information services</t>
  </si>
  <si>
    <t>Telegraph services</t>
  </si>
  <si>
    <t>Wire transfers and money orders</t>
  </si>
  <si>
    <t>Cable and other pay television services</t>
  </si>
  <si>
    <t>Utilities — electric, gas, water and sanitary</t>
  </si>
  <si>
    <t>Motor vehicle supplies and new parts</t>
  </si>
  <si>
    <t>Office and commercial furniture</t>
  </si>
  <si>
    <t>Construction materials — not elsewhere classified</t>
  </si>
  <si>
    <t>Office, photographic, photocopy and microfilm equipment</t>
  </si>
  <si>
    <t>Computers, computer peripheral equipment — not elsewhere classified</t>
  </si>
  <si>
    <t>Commercial equipment — not elsewhere classified</t>
  </si>
  <si>
    <t>Dental/laboratory/medical/ophthalmic hospital equipment and supplies</t>
  </si>
  <si>
    <t>Metal service centres and offices</t>
  </si>
  <si>
    <t>Electrical parts and equipment</t>
  </si>
  <si>
    <t>Hardware equipment and supplies</t>
  </si>
  <si>
    <t>Plumbing and heating equipment and supplies</t>
  </si>
  <si>
    <t>Industrial supplies — not elsewhere classified</t>
  </si>
  <si>
    <t>Precious stones and metals, watches and jewellery</t>
  </si>
  <si>
    <t>Durable goods — not elsewhere classified</t>
  </si>
  <si>
    <t>Stationery, office supplies and printing and writing paper</t>
  </si>
  <si>
    <t>Drugs, drug proprietors</t>
  </si>
  <si>
    <t>Piece goods, notions and other dry goods</t>
  </si>
  <si>
    <t>Men’s, women’s and children’s uniforms and commercial clothing</t>
  </si>
  <si>
    <t>Commercial footwear</t>
  </si>
  <si>
    <t>Chemicals and allied products — not elsewhere classified</t>
  </si>
  <si>
    <t>Petroleum and petroleum products</t>
  </si>
  <si>
    <t>Books, Periodicals and Newspapers</t>
  </si>
  <si>
    <t>Florists’ supplies, nursery stock and flowers</t>
  </si>
  <si>
    <t>Paints, varnishes and supplies</t>
  </si>
  <si>
    <t>Non-durable goods — not elsewhere classified</t>
  </si>
  <si>
    <t>Home supply warehouse outlets</t>
  </si>
  <si>
    <t>Lumber and building materials outlets</t>
  </si>
  <si>
    <t>Glass, paint and wallpaper shops</t>
  </si>
  <si>
    <t>Hardware shops</t>
  </si>
  <si>
    <t>Lawn and garden supply outlets, including nurseries</t>
  </si>
  <si>
    <t>Mobile home dealers</t>
  </si>
  <si>
    <t>Warehouse Club Gas</t>
  </si>
  <si>
    <t>Wholesale clubs</t>
  </si>
  <si>
    <t>Duty-free shops</t>
  </si>
  <si>
    <t>Discount shops</t>
  </si>
  <si>
    <t>Department stores</t>
  </si>
  <si>
    <t>Variety stores</t>
  </si>
  <si>
    <t>Miscellaneous general merchandise</t>
  </si>
  <si>
    <t>Groceries and supermarkets</t>
  </si>
  <si>
    <t>Freezer and locker meat provisioners</t>
  </si>
  <si>
    <t>Candy, nut and confectionery shops</t>
  </si>
  <si>
    <t>Dairies</t>
  </si>
  <si>
    <t>Bakeries</t>
  </si>
  <si>
    <t>Miscellaneous food shops — convenience and speciality retail outlets</t>
  </si>
  <si>
    <t>Car and truck dealers (new and used) sales, services, repairs, parts and leasing</t>
  </si>
  <si>
    <t>Car and truck dealers (used only) sales, service, repairs, parts and leasing</t>
  </si>
  <si>
    <t>Auto Store</t>
  </si>
  <si>
    <t>Automotive Tire Stores</t>
  </si>
  <si>
    <t>Automotive Parts and Accessories Stores</t>
  </si>
  <si>
    <t>Service stations (with or without ancillary services)</t>
  </si>
  <si>
    <t>Automated Fuel Dispensers</t>
  </si>
  <si>
    <t>Boat Dealers</t>
  </si>
  <si>
    <t>Electric Vehicle Charging</t>
  </si>
  <si>
    <t>Camper, recreational and utility trailer dealers</t>
  </si>
  <si>
    <t>Motorcycle shops and dealers</t>
  </si>
  <si>
    <t>Motor home dealers</t>
  </si>
  <si>
    <t>Snowmobile dealers</t>
  </si>
  <si>
    <t>Miscellaneous automotive, aircraft and farm equipment dealers — not elsewhere classified</t>
  </si>
  <si>
    <t>Men’s and boys’ clothing and accessory shops</t>
  </si>
  <si>
    <t>Women’s ready-to-wear shops</t>
  </si>
  <si>
    <t>Women’s accessory and speciality shops</t>
  </si>
  <si>
    <t>Children’s and infants’ wear shops</t>
  </si>
  <si>
    <t>Family clothing shops</t>
  </si>
  <si>
    <t>Sports and riding apparel shops</t>
  </si>
  <si>
    <t>Shoe shops</t>
  </si>
  <si>
    <t>Furriers and fur shops</t>
  </si>
  <si>
    <t>Men’s and women’s clothing shops</t>
  </si>
  <si>
    <t>Tailors, seamstresses, mending and alterations</t>
  </si>
  <si>
    <t>Wig and toupee shops</t>
  </si>
  <si>
    <t>Miscellaneous apparel and accessory shops</t>
  </si>
  <si>
    <t>Furniture, home furnishings and equipment shops and manufacturers, except appliances</t>
  </si>
  <si>
    <t>Floor covering services</t>
  </si>
  <si>
    <t>Drapery, window covering and upholstery shops</t>
  </si>
  <si>
    <t>Fireplaces, fireplace screens and accessories shops</t>
  </si>
  <si>
    <t>Miscellaneous home furnishing speciality shops</t>
  </si>
  <si>
    <t>Household appliance shops</t>
  </si>
  <si>
    <t>Electronics shops</t>
  </si>
  <si>
    <t>Music shops — musical instruments, pianos and sheet music</t>
  </si>
  <si>
    <t>Computer software outlets</t>
  </si>
  <si>
    <t>Record shops</t>
  </si>
  <si>
    <t>Caterers</t>
  </si>
  <si>
    <t>Eating places and restaurants</t>
  </si>
  <si>
    <t>Drinking places (alcoholic beverages) — bars, taverns, night-clubs, cocktail lounges and discothèques</t>
  </si>
  <si>
    <t>Fast food restaurants</t>
  </si>
  <si>
    <t>Digital Goods Media – Books, Movies, Music</t>
  </si>
  <si>
    <t>Digital Goods – Games</t>
  </si>
  <si>
    <t>Digital Goods – Applications (Excludes Games)</t>
  </si>
  <si>
    <t>Digital Goods – Large Digital Goods Merchant</t>
  </si>
  <si>
    <t>Drug stores and pharmacies</t>
  </si>
  <si>
    <t>Package shops — beer, wine and liquor</t>
  </si>
  <si>
    <t>Used merchandise and second-hand shops</t>
  </si>
  <si>
    <t>Antique Shops – Sales, Repairs, and Restoration Services</t>
  </si>
  <si>
    <t>Pawn shops</t>
  </si>
  <si>
    <t>Wrecking and salvage yards</t>
  </si>
  <si>
    <t>Antique Reproductions</t>
  </si>
  <si>
    <t>Bicycle Shops – Sales and Service</t>
  </si>
  <si>
    <t>Sporting goods shops</t>
  </si>
  <si>
    <t>Book Stores</t>
  </si>
  <si>
    <t>Stationery, office and school supply shops</t>
  </si>
  <si>
    <t>Jewellery, watch, clock and silverware shops</t>
  </si>
  <si>
    <t>Hobby, toy and game shops</t>
  </si>
  <si>
    <t>Camera and photographic supply shops</t>
  </si>
  <si>
    <t>Gift, card, novelty and souvenir shops</t>
  </si>
  <si>
    <t>Luggage and leather goods shops</t>
  </si>
  <si>
    <t>Sewing, needlework, fabric and piece goods shops</t>
  </si>
  <si>
    <t>Glassware and crystal shops</t>
  </si>
  <si>
    <t>Direct marketing — insurance services</t>
  </si>
  <si>
    <t>Mail Order Houses Including Catalog Order Stores</t>
  </si>
  <si>
    <t>Telemarketing — travel-related arrangement services</t>
  </si>
  <si>
    <t>Door-to-door sales</t>
  </si>
  <si>
    <t>Direct marketing — catalogue merchants</t>
  </si>
  <si>
    <t>Direct marketing — combination catalogue and retail merchants</t>
  </si>
  <si>
    <t>Direct marketing — outbound telemarketing merchants</t>
  </si>
  <si>
    <t>Direct marketing — inbound telemarketing merchants</t>
  </si>
  <si>
    <t>Direct marketing — continuity/subscription merchants</t>
  </si>
  <si>
    <t>Direct marketing/direct marketers — not elsewhere classified</t>
  </si>
  <si>
    <t>Artist’s Supply and Craft Shops</t>
  </si>
  <si>
    <t>Art Dealers and Galleries</t>
  </si>
  <si>
    <t>Stamp and coin shops</t>
  </si>
  <si>
    <t>Religious goods and shops</t>
  </si>
  <si>
    <t>Rubber Stamp Store</t>
  </si>
  <si>
    <t>Hearing aids — sales, service and supplies</t>
  </si>
  <si>
    <t>Orthopaedic goods and prosthetic devices</t>
  </si>
  <si>
    <t>Cosmetic Stores</t>
  </si>
  <si>
    <t>Typewriter outlets — sales, service and rentals</t>
  </si>
  <si>
    <t>Fuel dealers — fuel oil, wood, coal and liquefied petroleum</t>
  </si>
  <si>
    <t>Florists</t>
  </si>
  <si>
    <t>Cigar shops and stands</t>
  </si>
  <si>
    <t>Newsagents and news-stands</t>
  </si>
  <si>
    <t>Pet shops, pet food and supplies</t>
  </si>
  <si>
    <t>Swimming pools — sales, supplies and services</t>
  </si>
  <si>
    <t>Electric razor outlets — sales and service</t>
  </si>
  <si>
    <t>Tent and awning shops</t>
  </si>
  <si>
    <t>Miscellaneous and speciality retail outlets</t>
  </si>
  <si>
    <t>Financial institutions — manual cash disbursements</t>
  </si>
  <si>
    <t>Financial institutions — automated cash disbursements</t>
  </si>
  <si>
    <t>Financial institutions — merchandise and services</t>
  </si>
  <si>
    <t>Quasi Cash—Customer Financial Institution</t>
  </si>
  <si>
    <t>Non-financial institutions — foreign currency, money orders (not wire transfer), scrip and travellers’ checks</t>
  </si>
  <si>
    <t>Securities — brokers and dealers</t>
  </si>
  <si>
    <t>Insurance sales, underwriting and premiums</t>
  </si>
  <si>
    <t>Insurance–Premiums</t>
  </si>
  <si>
    <t>Insurance, Not Elsewhere Classified ( no longer valid for first presentment work)</t>
  </si>
  <si>
    <t>Real Estate Agents and Managers</t>
  </si>
  <si>
    <t>Remote Stored Value Load — Member Financial Institution</t>
  </si>
  <si>
    <t>Remove Stored Value Load — Merchant</t>
  </si>
  <si>
    <t>Payment Transaction—Customer Financial Institution</t>
  </si>
  <si>
    <t>Payment Transaction—Merchant</t>
  </si>
  <si>
    <t>Value Purchase–Member Financial Institution</t>
  </si>
  <si>
    <t>MoneySend Intracountry</t>
  </si>
  <si>
    <t>MoneySend Intercountry</t>
  </si>
  <si>
    <t>MoneySend Funding</t>
  </si>
  <si>
    <t>Funding Transaction (Excluding MoneySend)</t>
  </si>
  <si>
    <t>Non-Financial Institutions – Stored Value Card Purchase/Load</t>
  </si>
  <si>
    <t>Overpayments</t>
  </si>
  <si>
    <t>Savings Bonds</t>
  </si>
  <si>
    <t>Lodging — hotels, motels and resorts</t>
  </si>
  <si>
    <t>Timeshares</t>
  </si>
  <si>
    <t>Sporting and recreational camps</t>
  </si>
  <si>
    <t>Trailer parks and camp-sites</t>
  </si>
  <si>
    <t>Laundry, cleaning and garment services</t>
  </si>
  <si>
    <t>Laundry services — family and commercial</t>
  </si>
  <si>
    <t>Dry cleaners</t>
  </si>
  <si>
    <t>Carpet and upholstery cleaning</t>
  </si>
  <si>
    <t>Photographic studios</t>
  </si>
  <si>
    <t>Barber and Beauty Shops</t>
  </si>
  <si>
    <t>Shoe repair shops, shoe shine parlours and hat cleaning shops</t>
  </si>
  <si>
    <t>Funeral services and crematoriums</t>
  </si>
  <si>
    <t>Dating and escort services</t>
  </si>
  <si>
    <t>Tax preparation services</t>
  </si>
  <si>
    <t>Counselling services — debt, marriage and personal</t>
  </si>
  <si>
    <t>Buying and shopping services and clubs</t>
  </si>
  <si>
    <t>Hospital Patient-Personal Funds Withdrawal</t>
  </si>
  <si>
    <t>Babysitting Services</t>
  </si>
  <si>
    <t>Clothing rentals — costumes, uniforms and formal wear</t>
  </si>
  <si>
    <t>Massage parlours</t>
  </si>
  <si>
    <t>Health and beauty spas</t>
  </si>
  <si>
    <t>Miscellaneous personal services — not elsewhere classified</t>
  </si>
  <si>
    <t>Advertising Services</t>
  </si>
  <si>
    <t>Consumer credit reporting agencies</t>
  </si>
  <si>
    <t>Debt collection agencies</t>
  </si>
  <si>
    <t>Blueprinting and Photocopying Services</t>
  </si>
  <si>
    <t>Commercial photography, art and graphics</t>
  </si>
  <si>
    <t>Quick copy, reproduction and blueprinting services</t>
  </si>
  <si>
    <t>Stenographic and secretarial support services</t>
  </si>
  <si>
    <t>Exterminating and disinfecting services</t>
  </si>
  <si>
    <t>Cleaning, maintenance and janitorial services</t>
  </si>
  <si>
    <t>Employment agencies and temporary help services</t>
  </si>
  <si>
    <t>Computer programming, data processing and integrated systems design services</t>
  </si>
  <si>
    <t>Information retrieval services</t>
  </si>
  <si>
    <t>Computer maintenance and repair services — not elsewhere classified</t>
  </si>
  <si>
    <t>Management, consulting and public relations services</t>
  </si>
  <si>
    <t>Detective  agencies,  protective  agencies  and  security  services,  including  armoured  cars  and guard dogs</t>
  </si>
  <si>
    <t>Equipment, tool, furniture and appliance rentals and leasing</t>
  </si>
  <si>
    <t>Photofinishing laboratories and photo developing</t>
  </si>
  <si>
    <t>Business services — not elsewhere classified</t>
  </si>
  <si>
    <t>Truck Stop</t>
  </si>
  <si>
    <t>Automobile Rental Agency—not elsewhere classified</t>
  </si>
  <si>
    <t>Truck and utility trailer rentals</t>
  </si>
  <si>
    <t>Motor home and recreational vehicle rentals</t>
  </si>
  <si>
    <t>Parking lots and garages</t>
  </si>
  <si>
    <t>Express Payment Service Merchants–Parking Lots and Garages</t>
  </si>
  <si>
    <t>Automotive Body Repair Shops</t>
  </si>
  <si>
    <t>Tyre retreading and repair shops</t>
  </si>
  <si>
    <t>Automotive Paint Shops</t>
  </si>
  <si>
    <t>Automotive Service Shops (Non-Dealer)</t>
  </si>
  <si>
    <t>Automotive Service Shops (Spain) - Other Merchant Categories</t>
  </si>
  <si>
    <t>Car washes</t>
  </si>
  <si>
    <t>Towing services</t>
  </si>
  <si>
    <t>Electronics repair shops</t>
  </si>
  <si>
    <t>Air Conditioning and Refrigeration Repair Shops</t>
  </si>
  <si>
    <t>Electrical and small appliance repair shops</t>
  </si>
  <si>
    <t>Watch, clock and jewellery repair shops</t>
  </si>
  <si>
    <t>Furniture reupholstery, repair and refinishing</t>
  </si>
  <si>
    <t>Welding services</t>
  </si>
  <si>
    <t>Miscellaneous repair shops and related services</t>
  </si>
  <si>
    <t>Government-Owned Lotteries (US Region only)</t>
  </si>
  <si>
    <t>Government Licensed On-Line Casinos (On-Line Gambling) (US Region only)</t>
  </si>
  <si>
    <t>Government-Licensed Horse/Dog Racing (US Region only)</t>
  </si>
  <si>
    <t>Motion picture and video tape production and distribution</t>
  </si>
  <si>
    <t>Motion picture theatres</t>
  </si>
  <si>
    <t>Express Payment Service — Motion Picture Theater</t>
  </si>
  <si>
    <t>Video tape rentals</t>
  </si>
  <si>
    <t>Dance halls, studios and schools</t>
  </si>
  <si>
    <t>Theatrical producers (except motion pictures) and ticket agencies</t>
  </si>
  <si>
    <t>Bands, Orchestras, and Miscellaneous Entertainers (Not Elsewhere Classified)</t>
  </si>
  <si>
    <t>Billiard and Pool Establishments</t>
  </si>
  <si>
    <t>Bowling Alleys</t>
  </si>
  <si>
    <t>Commercial sports, professional sports clubs, athletic fields and sports promoters</t>
  </si>
  <si>
    <t>Tourist attractions and exhibits</t>
  </si>
  <si>
    <t>Public golf courses</t>
  </si>
  <si>
    <t>Video amusement game supplies</t>
  </si>
  <si>
    <t>Video game arcades and establishments</t>
  </si>
  <si>
    <t>Betting, including Lottery Tickets, Casino Gaming Chips, Off-Track Betting, and Wagers at Race Tracks</t>
  </si>
  <si>
    <t>Amusement Parks, Circuses, Carnivals, and Fortune Tellers</t>
  </si>
  <si>
    <t>Membership clubs (sports, recreation, athletic), country clubs and private golf courses</t>
  </si>
  <si>
    <t>Aquariums, Seaquariums, Dolphinariums, and Zoos</t>
  </si>
  <si>
    <t>Recreation services — not elsewhere classified</t>
  </si>
  <si>
    <t>Doctors and physicians — not elsewhere classified</t>
  </si>
  <si>
    <t>Dentists and orthodontists</t>
  </si>
  <si>
    <t>Osteopaths</t>
  </si>
  <si>
    <t>Chiropractors</t>
  </si>
  <si>
    <t>Optometrists and ophthalmologists</t>
  </si>
  <si>
    <t>Opticians, optical goods and eyeglasses</t>
  </si>
  <si>
    <t>Optical Goods and Eyeglasses</t>
  </si>
  <si>
    <t>Podiatrists and chiropodists</t>
  </si>
  <si>
    <t>Nursing and personal care facilities</t>
  </si>
  <si>
    <t>Hospitals</t>
  </si>
  <si>
    <t>Medical and dental laboratories</t>
  </si>
  <si>
    <t>Medical services and health practitioners — not elsewhere classified</t>
  </si>
  <si>
    <t>Legal services and attorneys</t>
  </si>
  <si>
    <t>Elementary and secondary schools</t>
  </si>
  <si>
    <t>Colleges, universities, professional schools and junior colleges</t>
  </si>
  <si>
    <t>Correspondence schools</t>
  </si>
  <si>
    <t>Business and secretarial schools</t>
  </si>
  <si>
    <t>Trade and vocational schools</t>
  </si>
  <si>
    <t>Schools and educational services — not elsewhere classified</t>
  </si>
  <si>
    <t>Child care services</t>
  </si>
  <si>
    <t>Charitable and social service organizations</t>
  </si>
  <si>
    <t>Civic, social and fraternal associations</t>
  </si>
  <si>
    <t>Political organizations</t>
  </si>
  <si>
    <t>Religious organizations</t>
  </si>
  <si>
    <t>Automobile Associations</t>
  </si>
  <si>
    <t>Membership organization — not elsewhere classified</t>
  </si>
  <si>
    <t>Testing laboratories (non-medical)</t>
  </si>
  <si>
    <t>Architectural, Engineering, and Surveying Services</t>
  </si>
  <si>
    <t>Accounting, Auditing, and Bookkeeping Services</t>
  </si>
  <si>
    <t>Professional services — not elsewhere classified</t>
  </si>
  <si>
    <t>I-Purchasing Pilot</t>
  </si>
  <si>
    <t>Court costs, including alimony and child support</t>
  </si>
  <si>
    <t>Fines</t>
  </si>
  <si>
    <t>Bail and Bond Payments</t>
  </si>
  <si>
    <t>Tax payments</t>
  </si>
  <si>
    <t>Government services — not elsewhere classified</t>
  </si>
  <si>
    <t>Postal services — government only</t>
  </si>
  <si>
    <t>U.S. Federal Government Agencies or Departments</t>
  </si>
  <si>
    <t>Government-Owned Lotteries (Non-U.S. region)</t>
  </si>
  <si>
    <t>Automated Referral Service</t>
  </si>
  <si>
    <t>Visa Credential Server</t>
  </si>
  <si>
    <t>Emergency Services (GCAS) (Visa use only)</t>
  </si>
  <si>
    <t>UK Supermarkets, Electronic Hot File</t>
  </si>
  <si>
    <t>UK Petrol Stations, Electronic Hot File</t>
  </si>
  <si>
    <t>Gambling-Horse, Dog Racing, State Lottery</t>
  </si>
  <si>
    <t>Intra-Company Purchases</t>
  </si>
  <si>
    <t>R999</t>
  </si>
  <si>
    <t>Temporarily undefined MCC code</t>
  </si>
  <si>
    <t>Majority of the codes is based on the ISO 18245.</t>
  </si>
  <si>
    <t>Codes for airlines (codes between 3000 and 3350), car rentals (codes between 3351 and 3500), and hotels (codes between 3501 and 3999) are grouped together.</t>
  </si>
  <si>
    <t>In case your code is not listed below, it should be reported with the code R999 (see last line).</t>
  </si>
  <si>
    <t>The table below provides an exhaustive list of MCC codes accepted by the BCL in the table V1.51.</t>
  </si>
  <si>
    <t>The sheet MCC added.</t>
  </si>
  <si>
    <t>The sheet MCC added to the INDEX</t>
  </si>
  <si>
    <t>Link to sheet MCC added</t>
  </si>
  <si>
    <t>The ISO 18245 forms the basis of the reporting of MCC codes. However, codes for airlines, car hire agencies and hotels are aggregated while all other MCC codes are reported separately. 
See sheet “MCC” for the full list of MCC codes accepted in the table V1.51.</t>
  </si>
  <si>
    <t>Concept MCC - link to the sheet MCC added</t>
  </si>
  <si>
    <t xml:space="preserve">The CDDP also includes tables that serve other than the ECB's needs, namely: </t>
  </si>
  <si>
    <t>Other relevant documents</t>
  </si>
  <si>
    <t>Validation rules</t>
  </si>
  <si>
    <t>Every CDDP table sent to the BCL is subject to a set of validation rules. If a rule is not respected, the incoming XML file is rejected, and an error message is sent to the sending PSP. The validation rules are listed, by reporting table, in a separate document on our website.</t>
  </si>
  <si>
    <t>https://eur-lex.europa.eu/legal-content/EN/TXT/?uri=CELEX:32020R2011</t>
  </si>
  <si>
    <t>For the ease of navigation, the statistical requirements stemming from the ECB regulation on payment statistics ECB/2020/59 are highlighted in red background, similarly to previous CDDP documentation. All other requirements are without highlight (blank background). Nevertheless, for the precise and legally binding list of the ECB statistical requirements, please refer directly to the ECB regulation ECB/2020/59 (external link below).</t>
  </si>
  <si>
    <t>Q&amp;A</t>
  </si>
  <si>
    <t>We collected a set of relevant questions and answers regarding the reporting in a separate document, also listed on our website. The Q&amp;A may be updated frequently with new questions and explanations.</t>
  </si>
  <si>
    <t>Defined in Article 2(1) of Regulation (EU) 2015/751.</t>
  </si>
  <si>
    <t>Defined in Article 4(44) of Directive (EU) 2015/2366.</t>
  </si>
  <si>
    <t>IFR</t>
  </si>
  <si>
    <t>Concept “Acquirer” added</t>
  </si>
  <si>
    <t>Concept “Acquiring of payment transactions” added</t>
  </si>
  <si>
    <t>Regulation (EU) 2015/751 on interchange fees for card-based payment transactions</t>
  </si>
  <si>
    <t>External</t>
  </si>
  <si>
    <t>https://eur-lex.europa.eu/legal-content/EN/TXT/?uri=CELEX:32015L2366</t>
  </si>
  <si>
    <t>https://eur-lex.europa.eu/legal-content/EN/TXT/?uri=celex%3A32015R0751</t>
  </si>
  <si>
    <t>Directive (EU) 2015/2366 (so called Payment Services Directive)</t>
  </si>
  <si>
    <t>Concept “PSD2” added</t>
  </si>
  <si>
    <t>Concept “IFR” added</t>
  </si>
  <si>
    <t>The acquirer is the PSP that has the contractual relationship with the payee, usually the merchant.</t>
  </si>
  <si>
    <t>Links to concepts added</t>
  </si>
  <si>
    <t xml:space="preserve">Possible modification: if a payment system is used, the name of the payment system is reported in settlement channel. In case the on-us payment is settled within STEP2, settlement channel = STEP2 and payment scheme = SEPA credit transfer._x000D_
</t>
  </si>
  <si>
    <t>Examples: numbering added</t>
  </si>
  <si>
    <t>Validation rules removed</t>
  </si>
  <si>
    <t>Examples - numbering added</t>
  </si>
  <si>
    <t xml:space="preserve">1) A user holding a bank account in a bank located in BE initiates a credit transfer via her mobile application (LU PISP), to pay for e-commerce goods. The PISP enforced SCA.
</t>
  </si>
  <si>
    <t xml:space="preserve">2) A user pays 10€ at a POS, SCA exemption applies. Bank account in DE (or LU), SEPA instant credit transfer by default.
</t>
  </si>
  <si>
    <t xml:space="preserve">1) A German AISP accesses an account of a LU ASPSP’s client. The ASPSP reports in LU.
</t>
  </si>
  <si>
    <t xml:space="preserve">2) A LU PSP in its role of an AISP accesses an account of a French ASPSP’s client. The AISP reports in LU.
</t>
  </si>
  <si>
    <t xml:space="preserve">1) A payment service user (PSU) got her card details stolen. She informed the issuing bank and got fully reimbursed. The PSP bears the loss. </t>
  </si>
  <si>
    <t>2) A cash withdrawal with a stolen card due to repeated gross negligence of the PSU, who herself bears the loss.</t>
  </si>
  <si>
    <t>Other MPS than P2P MPS.</t>
  </si>
  <si>
    <t>Example: A credit transfer initiated via Digicash for an invoice payment or at a POS should be reported in Other MPS.</t>
  </si>
  <si>
    <t>POS MPS removed from the definition of Other MPS</t>
  </si>
  <si>
    <t>╚═ Equens</t>
  </si>
  <si>
    <t>Instant payment systems removed</t>
  </si>
  <si>
    <t>Examples. POS MPS changed to Other MPS</t>
  </si>
  <si>
    <t>External link to the Regulation (EU) 2020/2011 of the European Central Bank of 1 December 2020 amending Regulation (EU) No 1409/2013 on payments statistics (ECB/2013/43) (ECB/2020/59):</t>
  </si>
  <si>
    <t>Exemptions from statistical reporting</t>
  </si>
  <si>
    <t>Exemptions from statistical reporting might be granted to PSPs that do not offer any payment services as listed in the Annex 1 of the Directive (EU) 2015/2366 (PSD2), nor any other payment service for which statistical data are collected in the CDDP. Any request for an exemption will be treated on an individual basis and will be valid for a maximum period of one year. After that, any request for a renewal of the exemption will need to be reintroduced to the BCL.</t>
  </si>
  <si>
    <t>Concept own account operation clarified.</t>
  </si>
  <si>
    <t>Notes removed</t>
  </si>
  <si>
    <t xml:space="preserve">All customer payment transactions should be reported according to this principle.
For example, transactions between two monetary funds (MFIs) are excluded, whereas transactions between a monetary fund (MFI) and a non-financial corporation (non-MFI) are included. 
This principle holds for all tables except V1.41 (Interbank payment transactions) and V1.42 (Intermediated payment transactions - only for the interbank part), where transactions between credit institutions are reported.
Only executed payment transactions should be reported. Rejected transactions are excluded because they have not been processed. </t>
  </si>
  <si>
    <t xml:space="preserve">Note: </t>
  </si>
  <si>
    <t>The Account type “technical account” may only be reported by reporting PSPs e-money institutions and payment institutions.</t>
  </si>
  <si>
    <t>Presentation of the Account type slightly modified</t>
  </si>
  <si>
    <t>Intermediated payment transaction</t>
  </si>
  <si>
    <t>Concept Intermediated payment transaction added</t>
  </si>
  <si>
    <t>Link to concept Intermediated payment transaction added</t>
  </si>
  <si>
    <t>Payment Service Provider (PSP)</t>
  </si>
  <si>
    <t>Defined in Article 4(11) of Directive (EU) 2015/2366.</t>
  </si>
  <si>
    <t>Defined Article 4(10) of Directive (EU) 2015/2366.</t>
  </si>
  <si>
    <t>Concept “Payment Service Provider (PSP)” added</t>
  </si>
  <si>
    <t>PSP LU/non-LU: minor edit</t>
  </si>
  <si>
    <r>
      <t xml:space="preserve">Transactions settled by an intermediate PSP are reported with settlement channel = PSP LU or PSP non-LU. Please note that the formerly requested "nostro-loro" transactions are now reported in these categories as well.
</t>
    </r>
    <r>
      <rPr>
        <u/>
        <sz val="11"/>
        <color theme="1"/>
        <rFont val="Arial"/>
        <family val="2"/>
      </rPr>
      <t>Change of methodology:</t>
    </r>
    <r>
      <rPr>
        <sz val="11"/>
        <color theme="1"/>
        <rFont val="Arial"/>
        <family val="2"/>
      </rPr>
      <t xml:space="preserve">
Transactions through a payment system where the reporting agent is an </t>
    </r>
    <r>
      <rPr>
        <u/>
        <sz val="11"/>
        <color theme="1"/>
        <rFont val="Arial"/>
        <family val="2"/>
      </rPr>
      <t>indirect</t>
    </r>
    <r>
      <rPr>
        <sz val="11"/>
        <color theme="1"/>
        <rFont val="Arial"/>
        <family val="2"/>
      </rPr>
      <t xml:space="preserve"> participant should be reported with the name of the payment system, and not as "PSP LU" or "PSP non-LU".</t>
    </r>
  </si>
  <si>
    <r>
      <t xml:space="preserve">Transactions settled by an intermediate PSP are reported with settlement channel = PSP LU or PSP non-LU. 
</t>
    </r>
    <r>
      <rPr>
        <u/>
        <sz val="11"/>
        <rFont val="Arial"/>
        <family val="2"/>
      </rPr>
      <t>Change of methodology</t>
    </r>
    <r>
      <rPr>
        <sz val="11"/>
        <rFont val="Arial"/>
        <family val="2"/>
      </rPr>
      <t>:
-</t>
    </r>
    <r>
      <rPr>
        <sz val="12.65"/>
        <rFont val="Arial"/>
        <family val="2"/>
      </rPr>
      <t xml:space="preserve"> </t>
    </r>
    <r>
      <rPr>
        <sz val="11"/>
        <rFont val="Arial"/>
        <family val="2"/>
      </rPr>
      <t xml:space="preserve">Please note that the formerly requested "nostro-loro" transactions are now reported in these categories as well.
- Transactions through a payment system where the reporting agent is an </t>
    </r>
    <r>
      <rPr>
        <u/>
        <sz val="11"/>
        <rFont val="Arial"/>
        <family val="2"/>
      </rPr>
      <t>indirect</t>
    </r>
    <r>
      <rPr>
        <sz val="11"/>
        <rFont val="Arial"/>
        <family val="2"/>
      </rPr>
      <t xml:space="preserve"> participant should be reported with the name of the payment system, and not as "PSP LU" or "PSP non-LU".</t>
    </r>
  </si>
  <si>
    <t>Dimension “Customer category” added</t>
  </si>
  <si>
    <t>Clarifications added</t>
  </si>
  <si>
    <t>V1.300-F. Links to existing payments tables added in additional details in “Concepts”</t>
  </si>
  <si>
    <t>In this category, we collect losses due to fraud for credit transfers sent, as reported in table V1.20-F.</t>
  </si>
  <si>
    <t>In this category, we collect losses due to fraud for direct debits (reported by creditor's PSP), as reported in table V1.30-F.</t>
  </si>
  <si>
    <t>In this category, we collect losses due to fraud for e-money transfers, as reported in table V1.91-F.</t>
  </si>
  <si>
    <t>In this category, we collect losses due to fraud for card transactions with operation type = “sales” and “other debit operation”, as reported in table V1.50-F.</t>
  </si>
  <si>
    <t>In this category, we collect losses due to fraud for card transactions with operation type = “sales” and “other debit operation”, as reported in table V1.52-F.</t>
  </si>
  <si>
    <t>In this category, we collect losses due to fraud for card transactions with operation type = “ATM cash withdrawal” and “Cash advance at a POS terminal”, as reported in table V1.50-F.</t>
  </si>
  <si>
    <t>Note for V1.200+V1.201:
All valid cards in circulation are included, irrespective of when they were issued or how actively they are used. A card is included from the moment it is posted to the cardholder by the card issuer, irrespective of whether the cardholder has activated it. Cards which are posted to the cardholder for the purpose of a regular re-issue on account of the card’s limited period of validity are not counted – i.e. the card is only counted the first time it is issued. Virtual cards are included and each card reported represents an individual card number.</t>
  </si>
  <si>
    <t>Concept “Payment card” (General) added</t>
  </si>
  <si>
    <t>Note on “Payment card” (General) added</t>
  </si>
  <si>
    <t>Notes added</t>
  </si>
  <si>
    <t>Processing chain</t>
  </si>
  <si>
    <t>Processing chain for credit transfers</t>
  </si>
  <si>
    <t>The list might be updated in the future, as new MCC codes are created, edited, or removed.</t>
  </si>
  <si>
    <t>Debtor</t>
  </si>
  <si>
    <t>(ordering party)</t>
  </si>
  <si>
    <t>Intermediary PSP</t>
  </si>
  <si>
    <t>(debtor's side)</t>
  </si>
  <si>
    <t>(creditor's side)</t>
  </si>
  <si>
    <t>Creditor</t>
  </si>
  <si>
    <t>Sending side</t>
  </si>
  <si>
    <t>Receiving side</t>
  </si>
  <si>
    <t>Reporting to the BCL</t>
  </si>
  <si>
    <t xml:space="preserve">Payment transaction </t>
  </si>
  <si>
    <t>V1.42 Intermediated payment transactions</t>
  </si>
  <si>
    <t>ACH*</t>
  </si>
  <si>
    <t>* ACH - Automatic Clearing House</t>
  </si>
  <si>
    <t>Processing chain added to the INDEX</t>
  </si>
  <si>
    <t>Sheet 'Processing chain' added</t>
  </si>
  <si>
    <t>In the CDDP, a PSP is one of the following institutions: 
* Credit institution 
* E-money institution 
* Payment institution
* Post-giro institution 
In CDDP, the PSP might have the role of a "debtor's PSP", "creditor's PSP" or "intermediary PSP". Please see the sheet “Processing chain” for more details.</t>
  </si>
  <si>
    <t>(beneficiary)</t>
  </si>
  <si>
    <t xml:space="preserve">An entity which is identified or recognised by a payment system and is authorised to send and receive payment orders directly to and from the system without an intermediary or is directly bound by the rules governing the payment system. In some systems, direct participants also exchange orders on behalf of indirect participants. </t>
  </si>
  <si>
    <t xml:space="preserve">A participant allowed in a payment system, that uses, with a tiering arrangement, a direct participant as an intermediary to perform some of the activities, in particular the settlement.
All payment transactions by an indirect participant are settled on the account of a direct participant that has agreed to represent the indirect participant in question. 
</t>
  </si>
  <si>
    <t>In case of credit transfers, transactions through a payment system where the reporting PSP is an indirect participant should be reported with the name of the payment system, and not as "PSP LU" or "PSP non-LU".
Conversely, the reporting PSP in its role of an intermediary PSP does not report transactions settled for the account of its indirect participants in table V1.42.
See also sheet “Processing chain” for more details.</t>
  </si>
  <si>
    <t>See also sheet “Processing chain” for more details.</t>
  </si>
  <si>
    <t>Interbank payment transaction</t>
  </si>
  <si>
    <t>Concept Interbank payment transaction added</t>
  </si>
  <si>
    <t>Note regarding “Interbank payment transaction” moved to Concepts.</t>
  </si>
  <si>
    <t>https://www.bcl.lu/en/Regulatory-reporting/Etablissements_credit/Statistiques-bancaires-et-monetaires/Instructions/index.html</t>
  </si>
  <si>
    <t>Source: “Definitions and concepts for the statistical reporting of credit institutions”, page 66, website BCL</t>
  </si>
  <si>
    <t>Hyperlink replaced</t>
  </si>
  <si>
    <t>Examples modified following the replacement of “Card transaction without contactless technology” with “Contact-based transaction”</t>
  </si>
  <si>
    <t>Examples modified following the replacement of “Card transaction without contactless technology” with “Remote card transaction” (REMOTE)</t>
  </si>
  <si>
    <t xml:space="preserve">Link to concept "Credit transfer" (payment instrument type) added </t>
  </si>
  <si>
    <t>* as required by the ECB, payment institutions are treated as “MFIs” for the purposes of payment statistics (CDDP)</t>
  </si>
  <si>
    <t>Umbrella category including the following sub-categories:
* Non-monetary funds
* Households and NPISHs
* Non-financial corporations
* Other non-MFI</t>
  </si>
  <si>
    <t>Concept “non-MFIs”: payment institutions removed</t>
  </si>
  <si>
    <t xml:space="preserve">V1.20
V1.20-F
V1.21
V1.30
V1.30-F
V1.31
V1.40
V1.80
V1.220
V1.300-F
</t>
  </si>
  <si>
    <t xml:space="preserve">V1.20
V1.20-F
V1.21
V1.30
V1.30-F
V1.31
V1.40
V1.80
V1.300-F
</t>
  </si>
  <si>
    <t xml:space="preserve">V1.20
V1.20-F
V1.21
V1.40
V1.41
V1.42
</t>
  </si>
  <si>
    <t xml:space="preserve">Defined in Article 4(12) of Directive (EU) 2015/2366. </t>
  </si>
  <si>
    <t>Concept: Payment account, minor edit</t>
  </si>
  <si>
    <t>Concept: Other (initiation channel), comment on MOTO transactions added</t>
  </si>
  <si>
    <t>An on-us transaction is a payment for which the debtor and the creditor hold their account at the same institution (so called "in-house payment ").</t>
  </si>
  <si>
    <t>on-us (settlement channel): clarification regarding on-us without CSM added</t>
  </si>
  <si>
    <t>PSP LU+PSP non-LU: clarification regarding payment scheme added</t>
  </si>
  <si>
    <t>In case the payment scheme is not known for transactions channeled through an intermediary PSP, the dimension “payment scheme” is reported as “not applicable”.</t>
  </si>
  <si>
    <t xml:space="preserve">This breakdown only includes non-remotely initiated credit transfers and only includes transactions at physical terminals.
Even though a credit transfer initiated at ATM or other PSP terminal can be initiated using a mobile payment solution, such transaction is reported as credit transfer initiated at ATM or other PSP terminal and not as credit transfer initiated using a mobile payment solution. </t>
  </si>
  <si>
    <t>ATM or other PSP terminal: clarification added in “additional details”</t>
  </si>
  <si>
    <t>Umbrella category including the following sub-categories:
* E-commerce payment
* Web banking payment</t>
  </si>
  <si>
    <t>Online banking based payment: removed reference to 'Other online banking based payment'</t>
  </si>
  <si>
    <t xml:space="preserve">V1.20+V1.20-F:
This category includes MOTO transactions. </t>
  </si>
  <si>
    <t>Link to concept direct debit (payment instrument type) added</t>
  </si>
  <si>
    <t>Interbank direct debits are reported in table V1.41 Interbank payment transactions.</t>
  </si>
  <si>
    <t>Note on interbank direct debits added</t>
  </si>
  <si>
    <t>Remark concerning country codes removed.</t>
  </si>
  <si>
    <r>
      <t xml:space="preserve">A payment transaction settled by the reporting PSP in its role of intermediary PSP for the account of another PSP.
</t>
    </r>
    <r>
      <rPr>
        <u/>
        <sz val="11"/>
        <rFont val="Arial"/>
        <family val="2"/>
      </rPr>
      <t>Change in methodology:</t>
    </r>
    <r>
      <rPr>
        <sz val="11"/>
        <rFont val="Arial"/>
        <family val="2"/>
      </rPr>
      <t xml:space="preserve">
The intermediary does not report payment transactions settled in a payment system for the account of indirect participants. These transactions are reported only by the indirect participant PSPs in other tables, with settlement channel = name of the payment system used.</t>
    </r>
  </si>
  <si>
    <t>Concept Intermediated payment transactio: minor edit</t>
  </si>
  <si>
    <t>Added "last update"</t>
  </si>
  <si>
    <t>E-commerce: note on the country of terminal added</t>
  </si>
  <si>
    <t>V1.50, V1.52:
In case of e-commerce, the “country of the terminal” is the address of the fixed place of business at which the merchant conducts its business (Regulation (EU) 2015/751 on interchange fees for card-based payment transactions (IFR), Article 2(29)(a)).</t>
  </si>
  <si>
    <t>Link to concept “e-money transfer” added</t>
  </si>
  <si>
    <t>A payment transaction between two e-money accounts, whereby the debtor sends and the creditor receives 'e-money'.</t>
  </si>
  <si>
    <t>E-money: link corrected</t>
  </si>
  <si>
    <t>E-money transfer: Minor edot</t>
  </si>
  <si>
    <t>PISP: minor edit</t>
  </si>
  <si>
    <t>Defined in Article 4(18) of Directive (EU) 2015/2366.</t>
  </si>
  <si>
    <t>Payment initiation service</t>
  </si>
  <si>
    <t>Defined in Article 4(15) of Directive (EU) 2015/2366.</t>
  </si>
  <si>
    <t>Concept Payment initiation service added</t>
  </si>
  <si>
    <t>Notes on PIS and PISP added</t>
  </si>
  <si>
    <t>If the issuer is at the same time the distributor of payment cards, the "Country of distributor" is LU.</t>
  </si>
  <si>
    <t>Notes: minor edit</t>
  </si>
  <si>
    <t>CLS1</t>
  </si>
  <si>
    <t>CLS0</t>
  </si>
  <si>
    <t>Contactless function: codes changed from CLSY to CLS1 and from CLSN to CLS0</t>
  </si>
  <si>
    <t>The total E2CA must be equal to or higher than E2CS.</t>
  </si>
  <si>
    <t>Note regarding E2CA and E2CS added.</t>
  </si>
  <si>
    <t>Note on “subacquiring” removed</t>
  </si>
  <si>
    <t xml:space="preserve">For on-us transactions, payment scheme=not applicable, unless an existing payment scheme is used
</t>
  </si>
  <si>
    <t>On-us - rules for payment scheme simplified</t>
  </si>
  <si>
    <t>A card with a debit function enabling the cardholder to initiate a payment transaction which is debited from the account of the payer without any significant delay.</t>
  </si>
  <si>
    <t>debit card - additional details clarified</t>
  </si>
  <si>
    <t>A credit transfer involving non-MFIs (i.e. a credit transfer with a non-MFI at least on one side of the transaction)</t>
  </si>
  <si>
    <t>A direct debit involving non-MFIs (i.e. a direct debit with a non-MFI at least on one side of the transaction)</t>
  </si>
  <si>
    <t>Clarification regarding “non-MFIs” added</t>
  </si>
  <si>
    <t>Fundings and withdrawals on prepaid cards / e-money accounts:
To be reported when a payment card is used for fundings on or withdrawals from a prepaid card.
Payment services provided by e-money institutions and payment institutions without the provision of payment accounts:
Debtor's PSP: Card transactions with cards issued by the reporting ELMI or PI.
Creditor's PSP: Card transactions acquired by the reporting ELMI or PI.</t>
  </si>
  <si>
    <t>Payment card - additional details clarified</t>
  </si>
  <si>
    <t>Table V1.100:
Creditor's PSP: To be reported when an e-money transaction is acquired by the ELMI or PI.</t>
  </si>
  <si>
    <t>E-money - additional details regarding V1.100 clarified</t>
  </si>
  <si>
    <t>Legal framework</t>
  </si>
  <si>
    <t>Header legal framework added</t>
  </si>
  <si>
    <r>
      <t xml:space="preserve">Only </t>
    </r>
    <r>
      <rPr>
        <b/>
        <sz val="11"/>
        <color theme="1"/>
        <rFont val="Arial"/>
        <family val="2"/>
      </rPr>
      <t>executed payment transactions involving non-MFIs</t>
    </r>
    <r>
      <rPr>
        <sz val="11"/>
        <color theme="1"/>
        <rFont val="Arial"/>
        <family val="2"/>
      </rPr>
      <t xml:space="preserve"> on either or both ends of a transaction are to be reported to the BCL in the framework of the CDDP (with the exception of interbank transfers in V1.41 and V1.42).</t>
    </r>
  </si>
  <si>
    <t>Clarification regarding payment transactions involving non-MFIs added</t>
  </si>
  <si>
    <t>The monetary financial institutions sector is divided into three main groups:
* central banks
* deposit taking corporations except the central bank:
    * credit institutions
    * other deposit taking institutions
* money market funds</t>
  </si>
  <si>
    <t>Please note that as required by the ECB, payment institutions are classified as MFIs for the purposes of payment statistics.</t>
  </si>
  <si>
    <t>Definition of MFIs added</t>
  </si>
  <si>
    <t>Link to the concept “MFIs” added</t>
  </si>
  <si>
    <t>note minor edit</t>
  </si>
  <si>
    <t>Link to V1.110 added</t>
  </si>
  <si>
    <t>Examples - more clarifications added in the description of examples</t>
  </si>
  <si>
    <t>2) Reporting PSP = credit institution ; Customer = a natural person. The customer herself initiates a credit transfer via paper instruction at a counter. The payment is settled on-us (the creditor's payment account is held at the same PSP, and no payment system is used). SCA is not applicable.</t>
  </si>
  <si>
    <t>5) Reporting PSP = credit institution or e-money institution/payment institution offering payment services (except e-money) and payment accounts to its customers; Customer = natural person. The customer initiates an e-commerce payment (computer, mobile phone or watch?) via 3rd party PISP, settled in TIPS.</t>
  </si>
  <si>
    <t>8) Reporting PSP = credit institution ; Customer = non-financial corporation. The reporting PSP is a credit institution, executing a batch Multiline instruction on behalf of a large non-financial corporation. Payment settled via STEP2.</t>
  </si>
  <si>
    <t>1) Reporting PSP = credit institution ; Customer = a natural person. The customer herself initiates a credit transfer via webbanking to pay for an invoice. The payment is settled in STEP2. SCA is used.</t>
  </si>
  <si>
    <t xml:space="preserve">6) Reporting PSP = credit institution ; Customer = e-money institution. An e-money institution initiates from its bank account (in fiat money, not in e-money) a credit transfer via web banking to pay for an invoice. </t>
  </si>
  <si>
    <t>4) Reporting PSP = credit institution ; Customer = a natural person ; Initiator: DigiCash (PISP). A customer pays using DigiCash (NFC) in a physical store (POS) which will generate a credit transfer from its bank account. The bank of the customer settles the payment via Equens. SCA exemption: ontactless low value</t>
  </si>
  <si>
    <t>Example on a e-commerce transaction initiated via a PISP added</t>
  </si>
  <si>
    <t>SCA not applicable added</t>
  </si>
  <si>
    <t>V1.20
V1.20-F
V1.50
V1.50-F
V1.52
V1.52-F</t>
  </si>
  <si>
    <t>SCA not applicable - link added</t>
  </si>
  <si>
    <t>Payment card type "One-off cards" are removed</t>
  </si>
  <si>
    <t>V1.50
V1.50-F
V1.52
V1.52-F</t>
  </si>
  <si>
    <t>USER</t>
  </si>
  <si>
    <t>MERC</t>
  </si>
  <si>
    <t>Merchant</t>
  </si>
  <si>
    <t>User</t>
  </si>
  <si>
    <t>Account type “Professional” changed to “Merchant”, “Private” to “User”. Codes changed accordingly</t>
  </si>
  <si>
    <t>Account type “Professional” changed to “Merchant”, “Private” to “User”</t>
  </si>
  <si>
    <t>An e-money account held by a merchant. All other accounts are considered 'User'.</t>
  </si>
  <si>
    <t>1) Reporting PSP = credit institution, e-money institution or payment institution. Car rental booking from home, VISA credit card details given by telephone order. SCA not applicable, it only applies to electronic transactions.</t>
  </si>
  <si>
    <t>2) Reporting PSP = credit institution, e-money institution or payment institution. ATM withdrawal with a VPAY debit card.</t>
  </si>
  <si>
    <t>3) Reporting PSP = credit institution, e-money institution or payment institution. Contactless NFC payment 20€ at a POS via Apple Pay / Samsung Pay / Google Pay [watch or phone] using a tokenised credit card MasterCard. SCA used.</t>
  </si>
  <si>
    <t>4) Reporting PSP = credit institution, e-money institution or payment institution. Refund made by a PSP after a request of a payer. Original payment via e-commerce with delayed debit card VISA. SCA not applicable.</t>
  </si>
  <si>
    <t>5) Reporting PSP = credit institution, e-money institution or payment institution. Spotify, regular monthly card payment. Delayed debit card VISA. SCA exemption applies.</t>
  </si>
  <si>
    <t>6) Reporting PSP = credit institution, e-money institution or payment institution. Payment for a parking at an unattended terminal (or highway toll), by VISA Debit card. Card inserted in the terminal. SCA exemption applies.</t>
  </si>
  <si>
    <t>7) Reporting PSP = credit institution, e-money institution or payment institution. E-commerce payment via Apple Pay (tokenised Mastercard credit card). SCA used. Country of terminal = fixed place of business of the merchant. SCA used.</t>
  </si>
  <si>
    <t>8) Reporting PSP = credit institution, e-money institution or payment institution. E-commerce payment via MasterCard credit card. SCA used. Country of terminal = fixed place of business of the merchant.</t>
  </si>
  <si>
    <t>9) Reporting PSP = credit institution, e-money institution or payment institution. Fraudster uses a stolen card. Contactless NFC payment 20€ at a POS via credit card MasterCard. SCA exempted.</t>
  </si>
  <si>
    <t>10) Reporting PSP = credit institution, e-money institution or payment institution. Fraudster tricks the payer to make Apple Pay transaction (tokenised MasterCard debit card) on a fake e-commerce website. SCA used.</t>
  </si>
  <si>
    <t>11) Reporting PSP = credit institution, e-money institution or payment institution. Fraudster changes the beneficiary of a VISA credit card e-commerce transaction (man-in-the-middle attack). SCA used.</t>
  </si>
  <si>
    <t>Examples: minor clarification added</t>
  </si>
  <si>
    <t>1) Reporting PSP = credit institution or e-money institution providing e-money payment services. The reporting PSP provides e-money accounts to both users and to merchants. A user funds his e-money account using a credit card.</t>
  </si>
  <si>
    <t xml:space="preserve">2) Reporting PSP = credit institution or e-money institution providing e-money payment services. The reporting PSP issues payment cards giving access to the users’ e-money account. A user initiates a card transaction at a POS with this payment card, which is then followed by a withdrawal from the user’s e-money account.
</t>
  </si>
  <si>
    <t xml:space="preserve">3) Reporting PSP = credit institution or e-money institution providing e-money payment services. The reporting PSP only provides e-money accounts to merchants and not to users. A marketplace merchant transfers the day’s earnings from her e-money account to her credit institution account. 
</t>
  </si>
  <si>
    <t xml:space="preserve">1) Reporting PSP = credit institution or e-money institution providing e-money payment services.The reporting agent provides e-money accounts to both users and merchants. A user buys and pays for a merchandise via e-commerce, on his desktop at home, logging in his e-money account._x000D_
</t>
  </si>
  <si>
    <t xml:space="preserve">2) Reporting PSP = credit institution or e-money institution providing e-money payment services. A user sends 10€ to her friend (both in the same EMS), using a mobile application. SCA exemption applies (until 30€)._x000D_
</t>
  </si>
  <si>
    <t>3) Reporting PSP = credit institution or e-money institution providing e-money payment services. A user sends 180€ to her best friend (both in the same EMS), using a mobile application. SCA exemption applies.</t>
  </si>
  <si>
    <t xml:space="preserve">4) Reporting PSP = credit institution or e-money institution providing e-money payment services. A video content provider initiates an e-money transfer of 80€ from a user’s e-money account as an annual subscription to a video service. SCA exemption applies_x000D_
</t>
  </si>
  <si>
    <t xml:space="preserve">5) Reporting PSP = credit institution or e-money institution providing e-money payment services. A user pays for parking using his e-money card (e.g. former Minicash). SCA exemption applies._x000D_
</t>
  </si>
  <si>
    <t xml:space="preserve">6) Reporting PSP = credit institution or e-money institution providing e-money payment services. E-money user gets its credentials stolen during phishing attack per email. Fraudster uses credentials to make a purchase online. SCA exemption applies based on “transaction risk analysis”._x000D_
</t>
  </si>
  <si>
    <t>E-commerce payments only include those that are initiated via online banking as the breakdown e-commerce is a sub-item of online banking based credit transfer. Credit transfers initiated by PISPs related to e-commerce transactions that are both initiated using an online banking platform and connected to a purchase on a merchant’s website are also included. 
Transactions, where an ASPSP acts as a PISP to initiate a simple credit transfer for an account at another ASPSP are not included, as they are reported in the table V1.110.</t>
  </si>
  <si>
    <t>MCC changed to merchant category code</t>
  </si>
  <si>
    <t>Merchant category code</t>
  </si>
  <si>
    <r>
      <rPr>
        <vertAlign val="superscript"/>
        <sz val="12.65"/>
        <color theme="1"/>
        <rFont val="Arial"/>
        <family val="2"/>
      </rPr>
      <t xml:space="preserve">† </t>
    </r>
    <r>
      <rPr>
        <sz val="11"/>
        <color theme="1"/>
        <rFont val="Arial"/>
        <family val="2"/>
      </rPr>
      <t>In V1.20 and V1.21, only credit transfers involving a non-MFI on one or both ends of the transaction are reported.</t>
    </r>
  </si>
  <si>
    <r>
      <t>V1.20 Customer credit transfers sent</t>
    </r>
    <r>
      <rPr>
        <vertAlign val="superscript"/>
        <sz val="18.399999999999999"/>
        <color theme="5" tint="-0.249977111117893"/>
        <rFont val="Arial"/>
        <family val="2"/>
      </rPr>
      <t>†</t>
    </r>
  </si>
  <si>
    <r>
      <t>V1.21 Customer credit transfers received</t>
    </r>
    <r>
      <rPr>
        <vertAlign val="superscript"/>
        <sz val="18.399999999999999"/>
        <color theme="5" tint="-0.249977111117893"/>
        <rFont val="Arial"/>
        <family val="2"/>
      </rPr>
      <t>†</t>
    </r>
  </si>
  <si>
    <t>Note on credit transfers involving non-MFIs added</t>
  </si>
  <si>
    <t>7) Reporting PSP = ELMI or PI, offering payment services (except e-money) and payment accounts to its customers. Customer: natural person.  The customer herself initiates a credit transfer, settled via an intermediate credit institution located in LU.</t>
  </si>
  <si>
    <t>V1.20+V1.20-F:
SCA only applies to electronic transactions. SCA is thus not applicable for credit transfers initiated on paper (Initiation channel = PAPER) or MOTO (included in the initiation channel = Other).
V1.50+V1.50-F+V1.52+V1.52-F:
SCA is not applicable for card payments initiated via terminal types MOTO and Imprinter.</t>
  </si>
  <si>
    <t xml:space="preserve">1) A PI/ELMI receives credit transfers / direct debits / e-money for online marketplace merchants. Merchants do not hold payment accounts at the PI.
</t>
  </si>
  <si>
    <t xml:space="preserve">3) A user pays a purchase with a card at a POS. Card transaction acquired by a PI/ELMI for the account of a merchant. No payment account offered.
</t>
  </si>
  <si>
    <t>2) A user pays with a card at a POS. Card issued by the reporting PI/ELMI. No payment account offered.</t>
  </si>
  <si>
    <t xml:space="preserve">4) A PI/ELMI acquires a payment on behalf of a merchant on the merchant's website. The user pays in e-money and the merchant receives a credit transfer. 
</t>
  </si>
  <si>
    <t>Example 4 modified</t>
  </si>
  <si>
    <t>Reporting of fraudulent transactions</t>
  </si>
  <si>
    <t>Reporting of fraudulent transactions - section added</t>
  </si>
  <si>
    <t>Where applicable, the structure and numbering of the fraud tables mimics closely the structure and numbering of the related payments table. For every reported fraudulent transaction, there must exist a corresponding payment transaction in the related payment table. The fraudulent transaction has to be thus reported with the same combination of dimensions as the corresponding payment transaction.</t>
  </si>
  <si>
    <t>Payment accounts include all kinds of accounts which can be used for the execution of payments, irrespective of being held by a bank, payment institution or electronic money institution. Therefore, transferable overnight deposits should be included in payment accounts. The same applies to e-money accounts and credit card accounts with a credit feature. Deposits redeemable at notice, as defined in Regulation ECB/2013/33, Annex II, Table 1, point 9.3, as well as non-transferable overnight deposits are excluded from payment accounts. Investment accounts are not always included in payments accounts (it would be possible for a credit institution to operate an investment account also as a payment account).
See also CSSF Q&amp;A on payment accounts at:
https://www.cssf.lu/wp-content/uploads/QA_payment_account_definition.pdf</t>
  </si>
  <si>
    <t>Concept payment account: link to CSSF's Q&amp;A on payment accounts added</t>
  </si>
  <si>
    <t>Link to concept payment account added</t>
  </si>
  <si>
    <t>Examples - links to concepts added</t>
  </si>
  <si>
    <t>Note on Multiline removed</t>
  </si>
  <si>
    <t>9) Reporting PSP = credit institution ; Customer = a natural person. The customer pays for a merchandise on an online marketplace with her mobile phone. She is redirected to her ASPSP's web banking interface via a PISP to initiate a credit transfer. The ASPSP enforces SCA.</t>
  </si>
  <si>
    <t>One example removed</t>
  </si>
  <si>
    <t>Note regarding the difference between “credit card” and “delayed debit card” added</t>
  </si>
  <si>
    <t>All valid payment cards are included. Temporarily blocked cards are included. Permanently blocked or expired cards are excluded.</t>
  </si>
  <si>
    <t>Note on the card validity included.</t>
  </si>
  <si>
    <t>Medium type</t>
  </si>
  <si>
    <t>Dimension “Support type” changed to “Medium type”</t>
  </si>
  <si>
    <t>Only the number of functional terminals should be reported.</t>
  </si>
  <si>
    <t>Note on functional terminals added</t>
  </si>
  <si>
    <t>Added correct reference to the BCL regulation 2020/30</t>
  </si>
  <si>
    <t xml:space="preserve">The BCL manual on payment statistics provides instructions for the reporting of payment statistics (also known as V-reports, or CDDP) as required by BCL Regulation 2021/30 and by the ECB regulation ECB/2020/59 on the collection of data on payment instruments and operations. It provides a description of the collected data organised by payment instrument in different reporting tables, as well as definitions which are applicable to the related tables.  </t>
  </si>
  <si>
    <t>V1.210: the terminal type “Other terminals”, code “OTHR”, was added to the sheet “Codes” (previously missing).</t>
  </si>
  <si>
    <t>Notes</t>
  </si>
  <si>
    <t>Alcoholic beverage wholesalers</t>
  </si>
  <si>
    <t>Added 2021-11-08</t>
  </si>
  <si>
    <t>MCC added: 5715 Alcoholic beverage wholesalers</t>
  </si>
  <si>
    <t>HYPERMARKETS OF FOOD</t>
  </si>
  <si>
    <t>MCC added: 5333 HYPERMARKETS OF FOOD</t>
  </si>
  <si>
    <t>The MCC "6236" (Aero Carabobo) was dropped from the list, as data on airlines should be reported under the MCC G300 - Airlines (codes between 3000 and 3350).</t>
  </si>
  <si>
    <t>V1.60-F: country of debtor's PSP aligned with table V1.60</t>
  </si>
  <si>
    <t>V1.60+V1.60-F: cells colored in red, split cheque vs money remittance is an ECB requirement</t>
  </si>
  <si>
    <t>For money remittances and postal orders:</t>
  </si>
  <si>
    <t>For cheques:</t>
  </si>
  <si>
    <t>V1.60-F: Role of reporting PSP modified: for money remittances and postal orders, the fraud is requested from the debtor’s PSP side. For cheques, the fraud is requested from the creditor’s PSP side.</t>
  </si>
  <si>
    <t>Marketplaces (online Marketplaces)</t>
  </si>
  <si>
    <t>Added 2021-11-19</t>
  </si>
  <si>
    <t>Code added: 5262 	Marketplaces (online Marketplaces)</t>
  </si>
  <si>
    <t>V1.60-F Cheques and money remittances (fraud)</t>
  </si>
  <si>
    <t>V1.60-F: name of the table changed ("sent" removed)</t>
  </si>
  <si>
    <r>
      <rPr>
        <b/>
        <sz val="11"/>
        <rFont val="Arial"/>
        <family val="2"/>
      </rPr>
      <t>Tables V1.20, V1.20-F, V1.21, V1.30, V1.30-F, V1.40, V1.80, V1.300-F:</t>
    </r>
    <r>
      <rPr>
        <sz val="11"/>
        <rFont val="Arial"/>
        <family val="2"/>
      </rPr>
      <t xml:space="preserve">
Reporting of PSP's own account operations (payment of salaries, invoices, etc.) is limited to payments to and from </t>
    </r>
    <r>
      <rPr>
        <u/>
        <sz val="11"/>
        <rFont val="Arial"/>
        <family val="2"/>
      </rPr>
      <t>internal</t>
    </r>
    <r>
      <rPr>
        <sz val="11"/>
        <rFont val="Arial"/>
        <family val="2"/>
      </rPr>
      <t xml:space="preserve"> </t>
    </r>
    <r>
      <rPr>
        <u/>
        <sz val="11"/>
        <rFont val="Arial"/>
        <family val="2"/>
      </rPr>
      <t>payment accounts</t>
    </r>
    <r>
      <rPr>
        <sz val="11"/>
        <rFont val="Arial"/>
        <family val="2"/>
      </rPr>
      <t xml:space="preserve">. Therefore, own account operations processed via payment accounts held at other PSPs, or via segregated accounts (internal or not) are </t>
    </r>
    <r>
      <rPr>
        <u/>
        <sz val="11"/>
        <rFont val="Arial"/>
        <family val="2"/>
      </rPr>
      <t>excluded</t>
    </r>
    <r>
      <rPr>
        <sz val="11"/>
        <rFont val="Arial"/>
        <family val="2"/>
      </rPr>
      <t xml:space="preserve">.
Change of methodology:
In the previous CDDP layouts, own account operations were reported under the customer category = "Credit institution".
</t>
    </r>
    <r>
      <rPr>
        <b/>
        <sz val="11"/>
        <rFont val="Arial"/>
        <family val="2"/>
      </rPr>
      <t xml:space="preserve">Table V1.41:
</t>
    </r>
    <r>
      <rPr>
        <sz val="11"/>
        <rFont val="Arial"/>
        <family val="2"/>
      </rPr>
      <t xml:space="preserve">All own account operations, regardless of whether initiated from internal account or from an account held at another PSP, are reported in this table.
</t>
    </r>
    <r>
      <rPr>
        <b/>
        <sz val="9.35"/>
        <rFont val="Arial"/>
        <family val="2"/>
      </rPr>
      <t/>
    </r>
  </si>
  <si>
    <t>Concept own account operation clarified for interbank transfers (V1.41)</t>
  </si>
  <si>
    <t>The value "not applicable" may be reported if no payment scheme is used for the transaction (for example, the payment scheme is usually "not applicable" for on-us transactions) or if the payment transaction was settled through an intermediary PSP and the payment scheme is not known (for example correspondent banking arrangement).</t>
  </si>
  <si>
    <t>Concept payment scheme “not applicable” clarified for payment transactions settled through an intermediary PSP</t>
  </si>
  <si>
    <t>ELOT</t>
  </si>
  <si>
    <t>V1.20+V1.20-F: initiation channel : value “Electronic single other”, code ELOT, added</t>
  </si>
  <si>
    <t>Other than listed electronic single initiation channel.</t>
  </si>
  <si>
    <t>This breakdown includes standing orders (also called recurrent or permanent orders/credit transfers), regardless whether the first credit transfer was initiated on paper or electronically.</t>
  </si>
  <si>
    <t>Concept initiation channel “Electronic single other” added</t>
  </si>
  <si>
    <t>Operation initiated by the reporting agent without any specific payment instruction from the account holder and executed by simple book entry, i.e. without the use of a traditional payment instrument.</t>
  </si>
  <si>
    <t>Concept “book entry” modified: “in scriptural money” removed from definition</t>
  </si>
  <si>
    <t>Only operations performed on customer payment accounts have to be reported. Operations relating to the own activity of the reporting agent do not have to be reported.
Book entries on e-money accounts are included.</t>
  </si>
  <si>
    <t>Concept “book entry” modified: in additional details, we specified that e-money book entries are included.</t>
  </si>
  <si>
    <t>In the case the debtor and the creditor are credit institutions, the V1.20 and V1.21 should be replaced with V1.41 in the diagram.</t>
  </si>
  <si>
    <t>A clarifying footnote on interbank transfers added.</t>
  </si>
  <si>
    <t>Other electronic single</t>
  </si>
  <si>
    <t>Other non-electronic</t>
  </si>
  <si>
    <t>Other non-electronic than listed initiation channels.</t>
  </si>
  <si>
    <t>Initiation channel “Other” renamed to “Other non-electronic”</t>
  </si>
  <si>
    <t>Scope of “other” initiation channel narrowed down to “other non-electronic”</t>
  </si>
  <si>
    <t>If several AISPs are accessing one account, double-counting has to be avoided, and the location of the AISP which has accessed the account the most should be reflected in the geographical breakdown</t>
  </si>
  <si>
    <t>In case two (or more) AISPs have accessed a certain account equal number of times during the reference period, the reporting PSP should report the country of the AISP which last accessed the account.</t>
  </si>
  <si>
    <t>V1.222: added clarifying note on the geo split of AISPs accessing the same account in a domestic ASPSP</t>
  </si>
  <si>
    <t>V1.41 country of debtor’s PSP and country of creditor’s PSP simplified</t>
  </si>
  <si>
    <t>When Role of reporting PSP = Debtor’s PSP, the country of debtor’s PSP = LU.</t>
  </si>
  <si>
    <t>When Role of reporting PSP = Creditor’s PSP, the country of creditor’s PSP = LU.</t>
  </si>
  <si>
    <t>Reporting guidance regarding the country codes:</t>
  </si>
  <si>
    <t xml:space="preserve">Exceptions: </t>
  </si>
  <si>
    <t>For own account operations sent from an externally held account (nostro), the reporting PSP acts as the debtor but not as the debtor’s PSP.</t>
  </si>
  <si>
    <t>For own account operations received on an externally held account (nostro), the reporting PSP acts as the creditor but not as the creditor’s PSP.</t>
  </si>
  <si>
    <t>V1.41 Added reporting guidance regarding the country codes</t>
  </si>
  <si>
    <t>In this case, the country of debtor’s PSP = country of the PSP holding the nostro account, and might differ from LU.</t>
  </si>
  <si>
    <t>Debtor’s PSP</t>
  </si>
  <si>
    <t>1) Reporting PSP = credit institution, executing an own account operation from a nostro account held at a DE bank. The beneficiary bank located in SE.</t>
  </si>
  <si>
    <t>SE</t>
  </si>
  <si>
    <t>SK</t>
  </si>
  <si>
    <t>Creditor’s PSP</t>
  </si>
  <si>
    <t>V1.41 examples added</t>
  </si>
  <si>
    <t>2) Reporting PSP = credit institution, receiving a credit transfer for own account on a nostro account held at a FR bank. The debtor bank is located in SK.</t>
  </si>
  <si>
    <t>Reporting examples of own account operations from/to external nostro accounts</t>
  </si>
  <si>
    <t>Only accounts in the name of the PSP’s clients should be reported in this table. Own payment accounts should not be reported.</t>
  </si>
  <si>
    <t>V1.220 note regarding exclusion of own payment accounts added</t>
  </si>
  <si>
    <t>In this case, the country of creditor’s PSP = country of the PSP holding the nostro account, and might differ from LU.</t>
  </si>
  <si>
    <t>V1.41: section Exceptions. typo corrected (“debtor's PSP” replaced with “creditor's PSP”)</t>
  </si>
  <si>
    <t>╠═ T2 RTGS</t>
  </si>
  <si>
    <t>Settlement channel “TARGET2” replaced by “T2 RTGS”</t>
  </si>
  <si>
    <r>
      <t xml:space="preserve">3) Reporting PSP = credit institution or e-money institution/payment institution offering payment services (except e-money) and payment accounts to its customers; Customer = the reporting PSP itself. The reporting PSP initiates an own account operation (ex: electricity bill) from an own </t>
    </r>
    <r>
      <rPr>
        <b/>
        <u/>
        <sz val="12"/>
        <color theme="9" tint="-0.499984740745262"/>
        <rFont val="Arial"/>
        <family val="2"/>
      </rPr>
      <t>internal</t>
    </r>
    <r>
      <rPr>
        <b/>
        <sz val="12"/>
        <color theme="9" tint="-0.499984740745262"/>
        <rFont val="Arial"/>
        <family val="2"/>
      </rPr>
      <t xml:space="preserve"> account, settled via T2 RTGS.</t>
    </r>
  </si>
  <si>
    <t>Example V1.20: Settlement channel “TARGET2” replaced by “T2 RTGS”</t>
  </si>
  <si>
    <t>T2 RTGS</t>
  </si>
  <si>
    <t>T2 RTGS transactions are to be reported with the payment scheme = Non-SEPA scheme.</t>
  </si>
  <si>
    <r>
      <t xml:space="preserve">A payment transaction where both the debtor and the creditor are credit institutions.
</t>
    </r>
    <r>
      <rPr>
        <u/>
        <sz val="11"/>
        <rFont val="Arial"/>
        <family val="2"/>
      </rPr>
      <t xml:space="preserve">Change in methodology: </t>
    </r>
    <r>
      <rPr>
        <sz val="11"/>
        <rFont val="Arial"/>
        <family val="2"/>
      </rPr>
      <t xml:space="preserve">
T2 RTGS: please note that camt.xxx liquidity transfers (immediate or via standing orders) between DCAs (RTGS, TIPS, T2S), between MCAs (CLM) or between DCAs and MCAs are excluded from all the CDDP tables.</t>
    </r>
  </si>
  <si>
    <t>Concept “interbank payment transaction” updated.</t>
  </si>
  <si>
    <t>Please note that camt.xxx liquidity transfers (immediate or via standing orders) between DCAs (RTGS, TIPS, T2S), between MCAs (CLM) or between DCAs and MCAs are excluded from all the CDDP tables.
Only the payments with messages pacs.008, pacs.009 and pacs.010 are to be reported in the CDDP.</t>
  </si>
  <si>
    <t>T2 RTGS: Please note that camt.xxx liquidity transfers (immediate or via standing orders) between DCAs (RTGS, TIPS, T2S), between MCAs (CLM) or between DCAs and MCAs are excluded from all the CDDP tables.
Only the payments with messages pacs.008, pacs.009 and pacs.010 are to be reported in the CDDP.</t>
  </si>
  <si>
    <t>V1.20+V1.20-F: T2 RTGS methodological note added.</t>
  </si>
  <si>
    <t>V1.30+V1.30-F: T2 RTGS methodological note added.</t>
  </si>
  <si>
    <t>V1.91: removed a wrong link to the definition of initiation channel = Other</t>
  </si>
  <si>
    <t>Other non-electronic: removed V1.91+V1.91-F from list of Tables concerned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</si>
</sst>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hh:mm:ss"/>
  </numFmts>
  <fonts count="55" x14ac:knownFonts="1">
    <font>
      <sz val="11"/>
      <color theme="1"/>
      <name val="Arial"/>
      <family val="2"/>
    </font>
    <font>
      <sz val="11"/>
      <color theme="1"/>
      <name val="Calibri"/>
      <family val="2"/>
      <scheme val="minor"/>
    </font>
    <font>
      <sz val="11"/>
      <color theme="1"/>
      <name val="Calibri"/>
      <family val="2"/>
      <scheme val="minor"/>
    </font>
    <font>
      <sz val="8"/>
      <color theme="1"/>
      <name val="Calibri"/>
      <family val="2"/>
      <scheme val="minor"/>
    </font>
    <font>
      <sz val="9"/>
      <color indexed="81"/>
      <name val="Tahoma"/>
      <family val="2"/>
    </font>
    <font>
      <b/>
      <sz val="11"/>
      <color theme="0"/>
      <name val="Calibri"/>
      <family val="2"/>
      <scheme val="minor"/>
    </font>
    <font>
      <b/>
      <sz val="8"/>
      <color theme="0"/>
      <name val="Calibri"/>
      <family val="2"/>
      <scheme val="minor"/>
    </font>
    <font>
      <b/>
      <sz val="22"/>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11"/>
      <color theme="1"/>
      <name val="Calibri"/>
      <family val="2"/>
      <scheme val="minor"/>
    </font>
    <font>
      <b/>
      <sz val="11"/>
      <color theme="1"/>
      <name val="Calibri"/>
      <family val="2"/>
      <scheme val="minor"/>
    </font>
    <font>
      <sz val="10"/>
      <name val="Times New Roman"/>
      <family val="1"/>
    </font>
    <font>
      <b/>
      <sz val="16"/>
      <color theme="1"/>
      <name val="Arial"/>
      <family val="2"/>
    </font>
    <font>
      <sz val="11"/>
      <color theme="1"/>
      <name val="Courier New"/>
      <family val="3"/>
    </font>
    <font>
      <b/>
      <sz val="11"/>
      <color theme="1"/>
      <name val="Arial"/>
      <family val="2"/>
    </font>
    <font>
      <sz val="11"/>
      <color rgb="FFFF0000"/>
      <name val="Arial"/>
      <family val="2"/>
    </font>
    <font>
      <sz val="11"/>
      <color rgb="FFC00000"/>
      <name val="Arial"/>
      <family val="2"/>
    </font>
    <font>
      <sz val="11"/>
      <color rgb="FFFF0000"/>
      <name val="Courier New"/>
      <family val="3"/>
    </font>
    <font>
      <strike/>
      <u/>
      <sz val="11"/>
      <color rgb="FFFF0000"/>
      <name val="Arial"/>
      <family val="2"/>
    </font>
    <font>
      <u/>
      <sz val="11"/>
      <color rgb="FF00B050"/>
      <name val="Arial"/>
      <family val="2"/>
    </font>
    <font>
      <u/>
      <sz val="11"/>
      <color theme="9" tint="-0.24994659260841701"/>
      <name val="Arial"/>
      <family val="2"/>
    </font>
    <font>
      <sz val="11"/>
      <color theme="1"/>
      <name val="Arial"/>
      <family val="2"/>
    </font>
    <font>
      <u/>
      <sz val="11"/>
      <color theme="1"/>
      <name val="Arial"/>
      <family val="2"/>
    </font>
    <font>
      <b/>
      <i/>
      <sz val="11"/>
      <color theme="1"/>
      <name val="Arial"/>
      <family val="2"/>
    </font>
    <font>
      <sz val="11"/>
      <name val="Arial"/>
      <family val="2"/>
    </font>
    <font>
      <b/>
      <u/>
      <sz val="11"/>
      <name val="Arial"/>
      <family val="2"/>
    </font>
    <font>
      <u/>
      <sz val="11"/>
      <name val="Arial"/>
      <family val="2"/>
    </font>
    <font>
      <b/>
      <sz val="11"/>
      <name val="Arial"/>
      <family val="2"/>
    </font>
    <font>
      <b/>
      <sz val="12"/>
      <name val="Arial"/>
      <family val="2"/>
    </font>
    <font>
      <b/>
      <i/>
      <sz val="11"/>
      <name val="Arial"/>
      <family val="2"/>
    </font>
    <font>
      <b/>
      <u/>
      <sz val="18.399999999999999"/>
      <color rgb="FFFF0000"/>
      <name val="Arial"/>
      <family val="2"/>
    </font>
    <font>
      <b/>
      <sz val="14"/>
      <color theme="1"/>
      <name val="Arial"/>
      <family val="2"/>
    </font>
    <font>
      <b/>
      <sz val="11"/>
      <name val="Arial"/>
      <family val="2"/>
    </font>
    <font>
      <sz val="11"/>
      <color rgb="FF000000"/>
      <name val="Arial"/>
      <family val="2"/>
    </font>
    <font>
      <sz val="11"/>
      <name val="Arial"/>
      <family val="2"/>
    </font>
    <font>
      <sz val="14"/>
      <color theme="1"/>
      <name val="Arial"/>
      <family val="2"/>
    </font>
    <font>
      <sz val="12.65"/>
      <name val="Arial"/>
      <family val="2"/>
    </font>
    <font>
      <sz val="11"/>
      <color theme="4" tint="-0.24994659260841701"/>
      <name val="Arial"/>
      <family val="2"/>
    </font>
    <font>
      <b/>
      <sz val="11"/>
      <color theme="4" tint="-0.24994659260841701"/>
      <name val="Arial"/>
      <family val="2"/>
    </font>
    <font>
      <b/>
      <sz val="12"/>
      <color theme="9" tint="-0.499984740745262"/>
      <name val="Arial"/>
      <family val="2"/>
    </font>
    <font>
      <b/>
      <sz val="14"/>
      <color theme="7" tint="-0.24994659260841701"/>
      <name val="Arial"/>
      <family val="2"/>
    </font>
    <font>
      <b/>
      <sz val="9.35"/>
      <name val="Arial"/>
      <family val="2"/>
    </font>
    <font>
      <i/>
      <sz val="13"/>
      <color theme="7" tint="-0.24994659260841701"/>
      <name val="Arial"/>
      <family val="2"/>
    </font>
    <font>
      <b/>
      <sz val="18"/>
      <color theme="1"/>
      <name val="Arial"/>
      <family val="2"/>
    </font>
    <font>
      <sz val="12"/>
      <color theme="1"/>
      <name val="Arial"/>
      <family val="2"/>
    </font>
    <font>
      <sz val="16"/>
      <color theme="1"/>
      <name val="Arial"/>
      <family val="2"/>
    </font>
    <font>
      <b/>
      <sz val="14"/>
      <color theme="5" tint="-0.249977111117893"/>
      <name val="Arial"/>
      <family val="2"/>
    </font>
    <font>
      <sz val="16"/>
      <color theme="5" tint="-0.249977111117893"/>
      <name val="Arial"/>
      <family val="2"/>
    </font>
    <font>
      <sz val="10"/>
      <color theme="1"/>
      <name val="Arial"/>
      <family val="2"/>
    </font>
    <font>
      <sz val="8"/>
      <color theme="1"/>
      <name val="Arial"/>
      <family val="2"/>
    </font>
    <font>
      <b/>
      <u/>
      <sz val="12"/>
      <color theme="9" tint="-0.499984740745262"/>
      <name val="Arial"/>
      <family val="2"/>
    </font>
    <font>
      <vertAlign val="superscript"/>
      <sz val="12.65"/>
      <color theme="1"/>
      <name val="Arial"/>
      <family val="2"/>
    </font>
    <font>
      <vertAlign val="superscript"/>
      <sz val="18.399999999999999"/>
      <color theme="5" tint="-0.249977111117893"/>
      <name val="Arial"/>
      <family val="2"/>
    </font>
  </fonts>
  <fills count="16">
    <fill>
      <patternFill patternType="none"/>
    </fill>
    <fill>
      <patternFill patternType="gray125"/>
    </fill>
    <fill>
      <patternFill patternType="solid">
        <fgColor theme="5" tint="0.79998168889431442"/>
        <bgColor theme="5" tint="0.79998168889431442"/>
      </patternFill>
    </fill>
    <fill>
      <patternFill patternType="solid">
        <fgColor theme="5"/>
        <bgColor theme="5"/>
      </patternFill>
    </fill>
    <fill>
      <patternFill patternType="solid">
        <fgColor theme="6" tint="0.79998168889431442"/>
        <bgColor theme="6" tint="0.79998168889431442"/>
      </patternFill>
    </fill>
    <fill>
      <patternFill patternType="solid">
        <fgColor theme="6"/>
        <bgColor theme="6"/>
      </patternFill>
    </fill>
    <fill>
      <patternFill patternType="solid">
        <fgColor theme="6" tint="0.79998168889431442"/>
        <bgColor theme="6" tint="0.59999389629810485"/>
      </patternFill>
    </fill>
    <fill>
      <patternFill patternType="solid">
        <fgColor theme="6" tint="0.79998168889431442"/>
        <bgColor indexed="64"/>
      </patternFill>
    </fill>
    <fill>
      <patternFill patternType="solid">
        <fgColor theme="5" tint="0.79998168889431442"/>
        <bgColor theme="5" tint="0.59999389629810485"/>
      </patternFill>
    </fill>
    <fill>
      <patternFill patternType="solid">
        <fgColor theme="6" tint="0.59999389629810485"/>
        <bgColor indexed="65"/>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5"/>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left>
      <right/>
      <top/>
      <bottom/>
      <diagonal/>
    </border>
    <border>
      <left style="thin">
        <color indexed="64"/>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top style="thin">
        <color theme="0" tint="-0.24994659260841701"/>
      </top>
      <bottom style="thin">
        <color theme="0" tint="-0.24994659260841701"/>
      </bottom>
      <diagonal/>
    </border>
    <border>
      <left/>
      <right/>
      <top/>
      <bottom style="thin">
        <color auto="1"/>
      </bottom>
      <diagonal/>
    </border>
    <border>
      <left/>
      <right/>
      <top/>
      <bottom style="medium">
        <color theme="7"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s>
  <cellStyleXfs count="17">
    <xf numFmtId="0" fontId="0" fillId="0" borderId="0" applyFill="0" applyBorder="0">
      <alignment vertical="top"/>
    </xf>
    <xf numFmtId="0" fontId="11" fillId="9" borderId="0" applyNumberFormat="0" applyBorder="0" applyAlignment="0" applyProtection="0"/>
    <xf numFmtId="0" fontId="13" fillId="0" borderId="0"/>
    <xf numFmtId="0" fontId="14" fillId="0" borderId="0">
      <alignment horizontal="left" vertical="top"/>
    </xf>
    <xf numFmtId="0" fontId="15" fillId="0" borderId="0" applyFill="0" applyBorder="0">
      <alignment horizontal="center" vertical="top" wrapText="1"/>
    </xf>
    <xf numFmtId="0" fontId="39" fillId="0" borderId="0" applyNumberFormat="0" applyFill="0" applyBorder="0" applyAlignment="0" applyProtection="0"/>
    <xf numFmtId="0" fontId="20" fillId="0" borderId="0" applyFill="0" applyBorder="0" applyAlignment="0">
      <alignment horizontal="left" vertical="top"/>
    </xf>
    <xf numFmtId="0" fontId="21" fillId="0" borderId="8" applyFill="0" applyBorder="0" applyAlignment="0">
      <alignment horizontal="left" vertical="top" wrapText="1" indent="1"/>
    </xf>
    <xf numFmtId="0" fontId="22" fillId="0" borderId="8" applyFill="0" applyBorder="0" applyAlignment="0">
      <alignment horizontal="left" vertical="top" wrapText="1" indent="1"/>
    </xf>
    <xf numFmtId="0" fontId="16" fillId="9" borderId="6" applyBorder="0">
      <alignment horizontal="left" vertical="top" wrapText="1"/>
    </xf>
    <xf numFmtId="0" fontId="15" fillId="10" borderId="9" applyNumberFormat="0" applyFont="0" applyAlignment="0" applyProtection="0">
      <alignment horizontal="center" vertical="top" wrapText="1"/>
    </xf>
    <xf numFmtId="0" fontId="2" fillId="14" borderId="0" applyNumberFormat="0" applyBorder="0" applyAlignment="0" applyProtection="0"/>
    <xf numFmtId="0" fontId="39" fillId="0" borderId="0" applyNumberFormat="0" applyFill="0" applyBorder="0" applyAlignment="0" applyProtection="0">
      <alignment vertical="top"/>
    </xf>
    <xf numFmtId="0" fontId="1" fillId="0" borderId="0"/>
    <xf numFmtId="0" fontId="41" fillId="0" borderId="0" applyBorder="0">
      <alignment vertical="top"/>
    </xf>
    <xf numFmtId="0" fontId="42" fillId="15" borderId="30" applyNumberFormat="0" applyFill="0" applyProtection="0"/>
    <xf numFmtId="0" fontId="44" fillId="15" borderId="29" applyFill="0" applyProtection="0"/>
  </cellStyleXfs>
  <cellXfs count="287">
    <xf numFmtId="0" fontId="0" fillId="0" borderId="0" xfId="0">
      <alignment vertical="top"/>
    </xf>
    <xf numFmtId="0" fontId="0" fillId="0" borderId="0" xfId="0" applyFill="1">
      <alignment vertical="top"/>
    </xf>
    <xf numFmtId="0" fontId="7" fillId="0" borderId="0" xfId="0" applyFont="1">
      <alignment vertical="top"/>
    </xf>
    <xf numFmtId="0" fontId="9" fillId="0" borderId="7" xfId="0" applyFont="1" applyFill="1" applyBorder="1">
      <alignment vertical="top"/>
    </xf>
    <xf numFmtId="0" fontId="7" fillId="0" borderId="0" xfId="0" applyFont="1" applyAlignment="1">
      <alignment horizontal="left" vertical="top"/>
    </xf>
    <xf numFmtId="0" fontId="7" fillId="0" borderId="0" xfId="0" applyFont="1" applyAlignment="1">
      <alignment horizontal="left" vertical="top" wrapText="1"/>
    </xf>
    <xf numFmtId="0" fontId="7" fillId="0" borderId="0" xfId="0" applyNumberFormat="1" applyFont="1" applyAlignment="1">
      <alignment horizontal="left" vertical="top" wrapText="1"/>
    </xf>
    <xf numFmtId="0" fontId="6" fillId="3" borderId="6" xfId="0" applyFont="1" applyFill="1" applyBorder="1" applyAlignment="1">
      <alignment horizontal="left" vertical="top" wrapText="1"/>
    </xf>
    <xf numFmtId="0" fontId="6" fillId="3" borderId="5" xfId="0" applyFont="1" applyFill="1" applyBorder="1" applyAlignment="1">
      <alignment horizontal="left" vertical="top" wrapText="1"/>
    </xf>
    <xf numFmtId="0" fontId="5" fillId="5" borderId="0" xfId="0" applyFont="1" applyFill="1" applyBorder="1" applyAlignment="1">
      <alignment horizontal="left" vertical="top"/>
    </xf>
    <xf numFmtId="0" fontId="5" fillId="5" borderId="7" xfId="0" applyFont="1" applyFill="1" applyBorder="1" applyAlignment="1">
      <alignment horizontal="left" vertical="top"/>
    </xf>
    <xf numFmtId="0" fontId="5" fillId="5" borderId="7" xfId="0" applyFont="1" applyFill="1" applyBorder="1" applyAlignment="1">
      <alignment horizontal="left" vertical="top" wrapText="1"/>
    </xf>
    <xf numFmtId="0" fontId="0" fillId="6" borderId="2" xfId="0" applyFont="1" applyFill="1" applyBorder="1" applyAlignment="1">
      <alignment horizontal="left" vertical="top"/>
    </xf>
    <xf numFmtId="0" fontId="8" fillId="6" borderId="2" xfId="0" applyFont="1" applyFill="1" applyBorder="1" applyAlignment="1">
      <alignment horizontal="left" vertical="top" wrapText="1"/>
    </xf>
    <xf numFmtId="0" fontId="0" fillId="4" borderId="2" xfId="0" applyFont="1" applyFill="1" applyBorder="1" applyAlignment="1">
      <alignment horizontal="left" vertical="top"/>
    </xf>
    <xf numFmtId="0" fontId="0" fillId="4" borderId="2" xfId="0" applyFont="1" applyFill="1" applyBorder="1" applyAlignment="1">
      <alignment horizontal="left" vertical="top" wrapText="1"/>
    </xf>
    <xf numFmtId="0" fontId="0" fillId="6" borderId="2" xfId="0" applyFont="1" applyFill="1" applyBorder="1" applyAlignment="1">
      <alignment horizontal="left" vertical="top" wrapText="1"/>
    </xf>
    <xf numFmtId="0" fontId="0" fillId="7" borderId="2" xfId="0" applyFill="1" applyBorder="1" applyAlignment="1">
      <alignment horizontal="left" vertical="top"/>
    </xf>
    <xf numFmtId="0" fontId="0" fillId="7" borderId="2" xfId="0" applyFill="1" applyBorder="1" applyAlignment="1">
      <alignment horizontal="left" vertical="top" wrapText="1"/>
    </xf>
    <xf numFmtId="0" fontId="8" fillId="7" borderId="2" xfId="0" applyFont="1" applyFill="1" applyBorder="1" applyAlignment="1">
      <alignment horizontal="left" vertical="top" wrapText="1"/>
    </xf>
    <xf numFmtId="0" fontId="8" fillId="7" borderId="2" xfId="0" applyFont="1" applyFill="1" applyBorder="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0" fillId="0" borderId="0" xfId="0" applyNumberFormat="1" applyAlignment="1">
      <alignment horizontal="left" vertical="top" wrapText="1"/>
    </xf>
    <xf numFmtId="0" fontId="3" fillId="2" borderId="1"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8" borderId="1" xfId="0" applyFont="1" applyFill="1" applyBorder="1" applyAlignment="1">
      <alignment horizontal="left" vertical="top" wrapText="1"/>
    </xf>
    <xf numFmtId="0" fontId="3" fillId="8" borderId="4" xfId="0" applyFont="1" applyFill="1" applyBorder="1" applyAlignment="1">
      <alignment horizontal="left" vertical="top" wrapText="1"/>
    </xf>
    <xf numFmtId="0" fontId="3" fillId="8" borderId="1" xfId="0" applyNumberFormat="1" applyFont="1" applyFill="1" applyBorder="1" applyAlignment="1">
      <alignment horizontal="left" vertical="top" wrapText="1"/>
    </xf>
    <xf numFmtId="0" fontId="10" fillId="7" borderId="2" xfId="0" applyFont="1" applyFill="1" applyBorder="1" applyAlignment="1">
      <alignment horizontal="left" vertical="top"/>
    </xf>
    <xf numFmtId="0" fontId="0" fillId="0" borderId="0" xfId="0" applyBorder="1" applyAlignment="1">
      <alignment horizontal="left" vertical="top" wrapText="1"/>
    </xf>
    <xf numFmtId="0" fontId="12" fillId="0" borderId="0" xfId="0" applyFont="1" applyAlignment="1">
      <alignment horizontal="left" vertical="top" wrapText="1"/>
    </xf>
    <xf numFmtId="0" fontId="0" fillId="0" borderId="0" xfId="0" applyBorder="1">
      <alignment vertical="top"/>
    </xf>
    <xf numFmtId="0" fontId="14" fillId="0" borderId="0" xfId="3">
      <alignment horizontal="left" vertical="top"/>
    </xf>
    <xf numFmtId="0" fontId="15" fillId="0" borderId="0" xfId="4" applyBorder="1">
      <alignment horizontal="center" vertical="top" wrapText="1"/>
    </xf>
    <xf numFmtId="0" fontId="39" fillId="0" borderId="0" xfId="5" applyAlignment="1">
      <alignment horizontal="left" vertical="top"/>
    </xf>
    <xf numFmtId="0" fontId="16" fillId="0" borderId="0" xfId="0" applyFont="1">
      <alignment vertical="top"/>
    </xf>
    <xf numFmtId="0" fontId="14" fillId="0" borderId="0" xfId="0" applyFont="1">
      <alignment vertical="top"/>
    </xf>
    <xf numFmtId="0" fontId="16" fillId="0" borderId="0" xfId="0" applyFont="1" applyAlignment="1">
      <alignment horizontal="left" vertical="top"/>
    </xf>
    <xf numFmtId="0" fontId="16" fillId="0" borderId="0" xfId="0" applyFont="1" applyAlignment="1">
      <alignment horizontal="left" vertical="top" wrapText="1"/>
    </xf>
    <xf numFmtId="0" fontId="0" fillId="0" borderId="0" xfId="0" applyAlignment="1">
      <alignment horizontal="right" vertical="top" wrapText="1"/>
    </xf>
    <xf numFmtId="0" fontId="0" fillId="0" borderId="0" xfId="0" applyFont="1" applyAlignment="1">
      <alignment horizontal="left" vertical="top"/>
    </xf>
    <xf numFmtId="0" fontId="0" fillId="0" borderId="0" xfId="0" applyBorder="1" applyAlignment="1">
      <alignment horizontal="left" vertical="top"/>
    </xf>
    <xf numFmtId="0" fontId="14" fillId="0" borderId="0" xfId="3" applyAlignment="1">
      <alignment horizontal="left" vertical="top" wrapText="1"/>
    </xf>
    <xf numFmtId="0" fontId="0" fillId="0" borderId="0" xfId="0" applyAlignment="1">
      <alignment vertical="top"/>
    </xf>
    <xf numFmtId="0" fontId="0" fillId="0" borderId="0" xfId="0" applyAlignment="1">
      <alignment vertical="top" wrapText="1"/>
    </xf>
    <xf numFmtId="0" fontId="14" fillId="0" borderId="0" xfId="3" applyAlignment="1">
      <alignment horizontal="left" vertical="top"/>
    </xf>
    <xf numFmtId="0" fontId="17" fillId="0" borderId="0" xfId="0" applyFont="1">
      <alignment vertical="top"/>
    </xf>
    <xf numFmtId="0" fontId="15" fillId="0" borderId="0" xfId="4">
      <alignment horizontal="center" vertical="top" wrapText="1"/>
    </xf>
    <xf numFmtId="0" fontId="20" fillId="0" borderId="0" xfId="6" applyAlignment="1">
      <alignment vertical="top"/>
    </xf>
    <xf numFmtId="0" fontId="16" fillId="9" borderId="0" xfId="9" applyBorder="1">
      <alignment horizontal="left" vertical="top" wrapText="1"/>
    </xf>
    <xf numFmtId="0" fontId="0" fillId="0" borderId="0" xfId="0" applyAlignment="1">
      <alignment horizontal="left" vertical="top" indent="1"/>
    </xf>
    <xf numFmtId="0" fontId="39" fillId="0" borderId="0" xfId="5" applyAlignment="1">
      <alignment vertical="top"/>
    </xf>
    <xf numFmtId="0" fontId="15" fillId="9" borderId="0" xfId="4" applyFill="1" applyBorder="1">
      <alignment horizontal="center" vertical="top" wrapText="1"/>
    </xf>
    <xf numFmtId="0" fontId="0" fillId="0" borderId="0" xfId="0" applyFont="1">
      <alignment vertical="top"/>
    </xf>
    <xf numFmtId="0" fontId="0" fillId="0" borderId="0" xfId="0" applyFont="1" applyAlignment="1">
      <alignment horizontal="left" vertical="top" indent="1"/>
    </xf>
    <xf numFmtId="0" fontId="25" fillId="0" borderId="0" xfId="0" applyFont="1">
      <alignment vertical="top"/>
    </xf>
    <xf numFmtId="0" fontId="26" fillId="0" borderId="0" xfId="0" applyFont="1" applyAlignment="1">
      <alignment vertical="top"/>
    </xf>
    <xf numFmtId="0" fontId="16" fillId="9" borderId="0" xfId="1" applyFont="1" applyBorder="1" applyAlignment="1">
      <alignment horizontal="left" vertical="top" wrapText="1"/>
    </xf>
    <xf numFmtId="0" fontId="26" fillId="0" borderId="0" xfId="0" applyFont="1">
      <alignment vertical="top"/>
    </xf>
    <xf numFmtId="0" fontId="39" fillId="0" borderId="0" xfId="5" applyBorder="1" applyAlignment="1">
      <alignment horizontal="left" vertical="top"/>
    </xf>
    <xf numFmtId="0" fontId="14" fillId="0" borderId="0" xfId="3" applyBorder="1">
      <alignment horizontal="left" vertical="top"/>
    </xf>
    <xf numFmtId="0" fontId="12" fillId="0" borderId="0" xfId="0" applyFont="1" applyBorder="1" applyAlignment="1">
      <alignment horizontal="left" vertical="top"/>
    </xf>
    <xf numFmtId="0" fontId="23" fillId="0" borderId="0" xfId="0" applyFont="1" applyBorder="1">
      <alignment vertical="top"/>
    </xf>
    <xf numFmtId="0" fontId="12" fillId="0" borderId="0" xfId="0" applyFont="1" applyBorder="1" applyAlignment="1">
      <alignment horizontal="left" vertical="top" wrapText="1"/>
    </xf>
    <xf numFmtId="0" fontId="16" fillId="0" borderId="0" xfId="0" applyFont="1" applyAlignment="1">
      <alignment vertical="top"/>
    </xf>
    <xf numFmtId="0" fontId="26" fillId="0" borderId="0" xfId="0" applyFont="1" applyAlignment="1">
      <alignment vertical="top" wrapText="1"/>
    </xf>
    <xf numFmtId="0" fontId="29" fillId="0" borderId="0" xfId="0" applyFont="1">
      <alignment vertical="top"/>
    </xf>
    <xf numFmtId="0" fontId="30" fillId="0" borderId="0" xfId="0" applyFont="1">
      <alignment vertical="top"/>
    </xf>
    <xf numFmtId="0" fontId="27" fillId="0" borderId="0" xfId="0" applyFont="1">
      <alignment vertical="top"/>
    </xf>
    <xf numFmtId="0" fontId="26" fillId="0" borderId="0" xfId="0" applyFont="1" applyFill="1">
      <alignment vertical="top"/>
    </xf>
    <xf numFmtId="0" fontId="31" fillId="0" borderId="0" xfId="0" applyFont="1" applyFill="1">
      <alignment vertical="top"/>
    </xf>
    <xf numFmtId="0" fontId="0" fillId="10" borderId="9" xfId="10" applyFont="1" applyAlignment="1">
      <alignment vertical="top"/>
    </xf>
    <xf numFmtId="0" fontId="0" fillId="0" borderId="9" xfId="0" applyBorder="1">
      <alignment vertical="top"/>
    </xf>
    <xf numFmtId="0" fontId="0" fillId="0" borderId="9" xfId="0" applyBorder="1" applyAlignment="1">
      <alignment horizontal="left" vertical="top" wrapText="1"/>
    </xf>
    <xf numFmtId="0" fontId="15" fillId="0" borderId="9" xfId="4" applyBorder="1">
      <alignment horizontal="center" vertical="top" wrapText="1"/>
    </xf>
    <xf numFmtId="0" fontId="16" fillId="10" borderId="9" xfId="10" applyFont="1" applyBorder="1" applyAlignment="1">
      <alignment horizontal="left" vertical="top" wrapText="1"/>
    </xf>
    <xf numFmtId="0" fontId="0" fillId="0" borderId="9" xfId="0" applyBorder="1" applyAlignment="1">
      <alignment horizontal="left" vertical="top"/>
    </xf>
    <xf numFmtId="0" fontId="19" fillId="0" borderId="9" xfId="4" applyFont="1" applyBorder="1">
      <alignment horizontal="center" vertical="top" wrapText="1"/>
    </xf>
    <xf numFmtId="0" fontId="16" fillId="0" borderId="9" xfId="0" applyFont="1" applyBorder="1" applyAlignment="1">
      <alignment horizontal="left" vertical="top"/>
    </xf>
    <xf numFmtId="0" fontId="0" fillId="10" borderId="9" xfId="10" applyFont="1" applyAlignment="1">
      <alignment horizontal="left" vertical="top"/>
    </xf>
    <xf numFmtId="0" fontId="0" fillId="0" borderId="9" xfId="0" applyFill="1" applyBorder="1">
      <alignment vertical="top"/>
    </xf>
    <xf numFmtId="0" fontId="16" fillId="10" borderId="9" xfId="10" applyFont="1" applyAlignment="1">
      <alignment horizontal="left" vertical="top"/>
    </xf>
    <xf numFmtId="0" fontId="25" fillId="10" borderId="9" xfId="10" applyFont="1" applyAlignment="1">
      <alignment horizontal="left" vertical="top"/>
    </xf>
    <xf numFmtId="0" fontId="25" fillId="10" borderId="9" xfId="10" applyFont="1" applyAlignment="1">
      <alignment vertical="top"/>
    </xf>
    <xf numFmtId="0" fontId="16" fillId="10" borderId="9" xfId="10" applyFont="1" applyAlignment="1">
      <alignment vertical="top"/>
    </xf>
    <xf numFmtId="0" fontId="18" fillId="0" borderId="0" xfId="0" applyFont="1" applyFill="1" applyAlignment="1">
      <alignment horizontal="left" vertical="top"/>
    </xf>
    <xf numFmtId="0" fontId="0" fillId="0" borderId="0" xfId="0" applyFill="1" applyAlignment="1">
      <alignment horizontal="left" vertical="top"/>
    </xf>
    <xf numFmtId="0" fontId="26" fillId="10" borderId="0" xfId="0" applyFont="1" applyFill="1">
      <alignment vertical="top"/>
    </xf>
    <xf numFmtId="0" fontId="0" fillId="0" borderId="9" xfId="10" applyFont="1" applyFill="1" applyAlignment="1">
      <alignment vertical="top"/>
    </xf>
    <xf numFmtId="0" fontId="0" fillId="0" borderId="10" xfId="0" applyBorder="1" applyAlignment="1">
      <alignment horizontal="left" vertical="top"/>
    </xf>
    <xf numFmtId="0" fontId="0" fillId="0" borderId="10" xfId="0" applyBorder="1" applyAlignment="1">
      <alignment horizontal="left" vertical="top" wrapText="1"/>
    </xf>
    <xf numFmtId="0" fontId="15" fillId="0" borderId="10" xfId="4" applyBorder="1">
      <alignment horizontal="center" vertical="top" wrapText="1"/>
    </xf>
    <xf numFmtId="0" fontId="16" fillId="0" borderId="0" xfId="0" applyFont="1" applyBorder="1">
      <alignment vertical="top"/>
    </xf>
    <xf numFmtId="0" fontId="33" fillId="0" borderId="0" xfId="0" applyFont="1">
      <alignment vertical="top"/>
    </xf>
    <xf numFmtId="0" fontId="39" fillId="10" borderId="9" xfId="5" applyFill="1" applyBorder="1" applyAlignment="1">
      <alignment vertical="top"/>
    </xf>
    <xf numFmtId="0" fontId="34" fillId="0" borderId="11" xfId="0" applyFont="1" applyFill="1" applyBorder="1" applyAlignment="1">
      <alignment horizontal="center" vertical="top" wrapText="1"/>
    </xf>
    <xf numFmtId="1" fontId="35" fillId="0" borderId="11" xfId="0" applyNumberFormat="1" applyFont="1" applyFill="1" applyBorder="1" applyAlignment="1">
      <alignment horizontal="center" vertical="center" shrinkToFi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1" fontId="35" fillId="0" borderId="12" xfId="0" applyNumberFormat="1" applyFont="1" applyFill="1" applyBorder="1" applyAlignment="1">
      <alignment horizontal="center" vertical="center" shrinkToFit="1"/>
    </xf>
    <xf numFmtId="0" fontId="34" fillId="0" borderId="12" xfId="0" applyFont="1" applyFill="1" applyBorder="1" applyAlignment="1">
      <alignment horizontal="center" vertical="top" wrapText="1"/>
    </xf>
    <xf numFmtId="0" fontId="0" fillId="7" borderId="12" xfId="0" applyFill="1" applyBorder="1" applyAlignment="1">
      <alignment horizontal="center" vertical="center" wrapText="1"/>
    </xf>
    <xf numFmtId="0" fontId="0" fillId="7" borderId="11" xfId="0" applyFill="1" applyBorder="1" applyAlignment="1">
      <alignment horizontal="center" vertical="center" wrapText="1"/>
    </xf>
    <xf numFmtId="0" fontId="33" fillId="11" borderId="13" xfId="0" applyFont="1" applyFill="1" applyBorder="1" applyAlignment="1">
      <alignment horizontal="centerContinuous" vertical="top"/>
    </xf>
    <xf numFmtId="0" fontId="33" fillId="11" borderId="14" xfId="0" applyFont="1" applyFill="1" applyBorder="1" applyAlignment="1">
      <alignment horizontal="centerContinuous" vertical="top"/>
    </xf>
    <xf numFmtId="0" fontId="33" fillId="11" borderId="15" xfId="0" applyFont="1" applyFill="1" applyBorder="1" applyAlignment="1">
      <alignment horizontal="centerContinuous" vertical="top"/>
    </xf>
    <xf numFmtId="0" fontId="34" fillId="0" borderId="16" xfId="0" applyFont="1" applyFill="1" applyBorder="1" applyAlignment="1">
      <alignment horizontal="center" vertical="top" wrapText="1"/>
    </xf>
    <xf numFmtId="0" fontId="34" fillId="0" borderId="17" xfId="0" applyFont="1" applyFill="1" applyBorder="1" applyAlignment="1">
      <alignment vertical="top" wrapText="1"/>
    </xf>
    <xf numFmtId="1" fontId="35" fillId="7" borderId="16" xfId="0" applyNumberFormat="1" applyFont="1" applyFill="1" applyBorder="1" applyAlignment="1">
      <alignment horizontal="center" vertical="center" shrinkToFit="1"/>
    </xf>
    <xf numFmtId="0" fontId="36" fillId="7" borderId="17" xfId="0" applyFont="1" applyFill="1" applyBorder="1" applyAlignment="1">
      <alignment vertical="top" wrapText="1"/>
    </xf>
    <xf numFmtId="0" fontId="0" fillId="0" borderId="16" xfId="0" applyFill="1" applyBorder="1" applyAlignment="1">
      <alignment horizontal="center" vertical="center" wrapText="1"/>
    </xf>
    <xf numFmtId="0" fontId="36" fillId="0" borderId="17" xfId="0" applyFont="1" applyFill="1" applyBorder="1" applyAlignment="1">
      <alignment vertical="top" wrapText="1"/>
    </xf>
    <xf numFmtId="0" fontId="26" fillId="0" borderId="17" xfId="0" applyFont="1" applyFill="1" applyBorder="1" applyAlignment="1">
      <alignment vertical="top" wrapText="1"/>
    </xf>
    <xf numFmtId="1" fontId="35" fillId="7" borderId="18" xfId="0" applyNumberFormat="1" applyFont="1" applyFill="1" applyBorder="1" applyAlignment="1">
      <alignment horizontal="center" vertical="center" shrinkToFit="1"/>
    </xf>
    <xf numFmtId="0" fontId="0" fillId="7" borderId="19" xfId="0" applyFill="1" applyBorder="1" applyAlignment="1">
      <alignment horizontal="center" vertical="center" wrapText="1"/>
    </xf>
    <xf numFmtId="0" fontId="0" fillId="7" borderId="20" xfId="0" applyFill="1" applyBorder="1" applyAlignment="1">
      <alignment horizontal="center" vertical="center" wrapText="1"/>
    </xf>
    <xf numFmtId="0" fontId="36" fillId="7" borderId="21" xfId="0" applyFont="1" applyFill="1" applyBorder="1" applyAlignment="1">
      <alignment vertical="top" wrapText="1"/>
    </xf>
    <xf numFmtId="0" fontId="33" fillId="12" borderId="13" xfId="0" applyFont="1" applyFill="1" applyBorder="1" applyAlignment="1">
      <alignment horizontal="centerContinuous" vertical="top"/>
    </xf>
    <xf numFmtId="0" fontId="37" fillId="12" borderId="15" xfId="0" applyFont="1" applyFill="1" applyBorder="1" applyAlignment="1">
      <alignment horizontal="centerContinuous" vertical="top"/>
    </xf>
    <xf numFmtId="0" fontId="34" fillId="0" borderId="16" xfId="0" applyFont="1" applyFill="1" applyBorder="1" applyAlignment="1">
      <alignment horizontal="left" vertical="top" wrapText="1"/>
    </xf>
    <xf numFmtId="0" fontId="34" fillId="0" borderId="17" xfId="0" applyFont="1" applyFill="1" applyBorder="1" applyAlignment="1">
      <alignment horizontal="left" vertical="top" wrapText="1"/>
    </xf>
    <xf numFmtId="0" fontId="0" fillId="7" borderId="16" xfId="0" applyFill="1" applyBorder="1" applyAlignment="1">
      <alignment horizontal="left" vertical="center" wrapText="1"/>
    </xf>
    <xf numFmtId="0" fontId="15" fillId="7" borderId="17" xfId="4" applyFill="1" applyBorder="1" applyAlignment="1">
      <alignment horizontal="left" vertical="top" wrapText="1"/>
    </xf>
    <xf numFmtId="0" fontId="0" fillId="0" borderId="16" xfId="0" applyFill="1" applyBorder="1" applyAlignment="1">
      <alignment horizontal="left" vertical="center" wrapText="1"/>
    </xf>
    <xf numFmtId="0" fontId="15" fillId="0" borderId="17" xfId="4" applyFill="1" applyBorder="1" applyAlignment="1">
      <alignment horizontal="left" vertical="top" wrapText="1"/>
    </xf>
    <xf numFmtId="0" fontId="0" fillId="7" borderId="18" xfId="0" applyFill="1" applyBorder="1" applyAlignment="1">
      <alignment horizontal="left" vertical="center" wrapText="1"/>
    </xf>
    <xf numFmtId="0" fontId="15" fillId="7" borderId="21" xfId="4" applyFill="1" applyBorder="1" applyAlignment="1">
      <alignment horizontal="left" vertical="top" wrapText="1"/>
    </xf>
    <xf numFmtId="0" fontId="16" fillId="13" borderId="0" xfId="0" applyFont="1" applyFill="1">
      <alignment vertical="top"/>
    </xf>
    <xf numFmtId="0" fontId="16" fillId="13" borderId="0" xfId="0" applyFont="1" applyFill="1" applyAlignment="1">
      <alignment vertical="top" wrapText="1"/>
    </xf>
    <xf numFmtId="0" fontId="39" fillId="0" borderId="0" xfId="5" applyAlignment="1">
      <alignment vertical="top" wrapText="1"/>
    </xf>
    <xf numFmtId="0" fontId="17" fillId="0" borderId="0" xfId="0" applyFont="1" applyAlignment="1">
      <alignment vertical="top" wrapText="1"/>
    </xf>
    <xf numFmtId="0" fontId="16" fillId="14" borderId="0" xfId="11" applyFont="1" applyAlignment="1">
      <alignment vertical="top" wrapText="1"/>
    </xf>
    <xf numFmtId="0" fontId="16" fillId="14" borderId="0" xfId="11" applyFont="1" applyAlignment="1">
      <alignment vertical="top"/>
    </xf>
    <xf numFmtId="0" fontId="16" fillId="10" borderId="22" xfId="10" applyFont="1" applyBorder="1" applyAlignment="1">
      <alignment horizontal="left" vertical="top"/>
    </xf>
    <xf numFmtId="0" fontId="0" fillId="0" borderId="22" xfId="0" applyBorder="1" applyAlignment="1">
      <alignment horizontal="left" vertical="top"/>
    </xf>
    <xf numFmtId="0" fontId="16" fillId="0" borderId="22" xfId="0" applyFont="1" applyBorder="1" applyAlignment="1">
      <alignment horizontal="left" vertical="top"/>
    </xf>
    <xf numFmtId="0" fontId="15" fillId="0" borderId="22" xfId="4" applyBorder="1">
      <alignment horizontal="center" vertical="top" wrapText="1"/>
    </xf>
    <xf numFmtId="0" fontId="15" fillId="0" borderId="23" xfId="4" applyBorder="1">
      <alignment horizontal="center" vertical="top" wrapText="1"/>
    </xf>
    <xf numFmtId="0" fontId="15" fillId="0" borderId="24" xfId="4" applyBorder="1">
      <alignment horizontal="center" vertical="top" wrapText="1"/>
    </xf>
    <xf numFmtId="0" fontId="0" fillId="0" borderId="24" xfId="0" applyBorder="1" applyAlignment="1">
      <alignment horizontal="left" vertical="top" wrapText="1"/>
    </xf>
    <xf numFmtId="0" fontId="0" fillId="0" borderId="25" xfId="0" applyBorder="1" applyAlignment="1">
      <alignment horizontal="left" vertical="top"/>
    </xf>
    <xf numFmtId="0" fontId="17" fillId="0" borderId="0" xfId="0" applyFont="1" applyAlignment="1">
      <alignment horizontal="left" vertical="top" wrapText="1"/>
    </xf>
    <xf numFmtId="0" fontId="15" fillId="0" borderId="26" xfId="4" applyFill="1" applyBorder="1">
      <alignment horizontal="center" vertical="top" wrapText="1"/>
    </xf>
    <xf numFmtId="0" fontId="39" fillId="0" borderId="9" xfId="5" applyFont="1" applyBorder="1" applyAlignment="1">
      <alignment horizontal="left" vertical="top" wrapText="1"/>
    </xf>
    <xf numFmtId="0" fontId="39" fillId="0" borderId="9" xfId="5" applyFont="1" applyBorder="1" applyAlignment="1">
      <alignment vertical="top"/>
    </xf>
    <xf numFmtId="0" fontId="39" fillId="0" borderId="9" xfId="5" applyFont="1" applyFill="1" applyBorder="1" applyAlignment="1">
      <alignment vertical="top"/>
    </xf>
    <xf numFmtId="0" fontId="39" fillId="10" borderId="9" xfId="5" applyFont="1" applyFill="1" applyBorder="1" applyAlignment="1">
      <alignment vertical="top"/>
    </xf>
    <xf numFmtId="0" fontId="39" fillId="0" borderId="9" xfId="5" applyFont="1" applyFill="1" applyBorder="1" applyAlignment="1">
      <alignment horizontal="left" vertical="top" wrapText="1"/>
    </xf>
    <xf numFmtId="0" fontId="39" fillId="0" borderId="10" xfId="5" applyFont="1" applyBorder="1" applyAlignment="1">
      <alignment horizontal="left" vertical="top" wrapText="1"/>
    </xf>
    <xf numFmtId="0" fontId="39" fillId="10" borderId="22" xfId="5" applyFont="1" applyFill="1" applyBorder="1" applyAlignment="1">
      <alignment horizontal="left" vertical="top" wrapText="1"/>
    </xf>
    <xf numFmtId="0" fontId="39" fillId="10" borderId="22" xfId="5" applyFont="1" applyFill="1" applyBorder="1" applyAlignment="1">
      <alignment vertical="top"/>
    </xf>
    <xf numFmtId="0" fontId="39" fillId="10" borderId="9" xfId="5" applyFont="1" applyFill="1" applyBorder="1" applyAlignment="1">
      <alignment horizontal="left" vertical="top" wrapText="1"/>
    </xf>
    <xf numFmtId="0" fontId="40" fillId="10" borderId="9" xfId="5" applyFont="1" applyFill="1" applyBorder="1" applyAlignment="1">
      <alignment horizontal="left" vertical="top"/>
    </xf>
    <xf numFmtId="0" fontId="40" fillId="10" borderId="9" xfId="5" applyFont="1" applyFill="1" applyBorder="1" applyAlignment="1">
      <alignment vertical="top"/>
    </xf>
    <xf numFmtId="0" fontId="39" fillId="0" borderId="22" xfId="5" applyFont="1" applyBorder="1" applyAlignment="1">
      <alignment horizontal="left" vertical="top" wrapText="1"/>
    </xf>
    <xf numFmtId="0" fontId="40" fillId="9" borderId="0" xfId="5" applyFont="1" applyFill="1" applyBorder="1" applyAlignment="1">
      <alignment horizontal="left" vertical="top" wrapText="1"/>
    </xf>
    <xf numFmtId="0" fontId="39" fillId="10" borderId="0" xfId="5" applyFont="1" applyFill="1" applyBorder="1" applyAlignment="1">
      <alignment horizontal="left" vertical="top" wrapText="1"/>
    </xf>
    <xf numFmtId="0" fontId="39" fillId="0" borderId="0" xfId="5" applyFont="1" applyBorder="1" applyAlignment="1">
      <alignment horizontal="left" vertical="top" wrapText="1"/>
    </xf>
    <xf numFmtId="0" fontId="39" fillId="0" borderId="0" xfId="5" applyFont="1" applyAlignment="1">
      <alignment vertical="top"/>
    </xf>
    <xf numFmtId="0" fontId="39" fillId="0" borderId="0" xfId="5" applyFont="1" applyAlignment="1">
      <alignment horizontal="left" vertical="top"/>
    </xf>
    <xf numFmtId="0" fontId="39" fillId="0" borderId="0" xfId="5" applyFont="1" applyAlignment="1">
      <alignment horizontal="left" vertical="top" indent="1"/>
    </xf>
    <xf numFmtId="0" fontId="39" fillId="0" borderId="0" xfId="5" applyFont="1" applyBorder="1" applyAlignment="1">
      <alignment vertical="top"/>
    </xf>
    <xf numFmtId="0" fontId="40" fillId="0" borderId="0" xfId="5" applyFont="1" applyAlignment="1">
      <alignment vertical="top"/>
    </xf>
    <xf numFmtId="0" fontId="39" fillId="10" borderId="9" xfId="5" applyFont="1" applyFill="1" applyBorder="1" applyAlignment="1">
      <alignment horizontal="left" vertical="top"/>
    </xf>
    <xf numFmtId="0" fontId="39" fillId="0" borderId="0" xfId="5" applyFont="1" applyAlignment="1">
      <alignment vertical="top" wrapText="1"/>
    </xf>
    <xf numFmtId="0" fontId="16" fillId="0" borderId="0" xfId="0" applyFont="1" applyAlignment="1">
      <alignment vertical="top" wrapText="1"/>
    </xf>
    <xf numFmtId="0" fontId="39" fillId="0" borderId="0" xfId="5" applyFont="1" applyBorder="1" applyAlignment="1">
      <alignment vertical="top" wrapText="1"/>
    </xf>
    <xf numFmtId="0" fontId="39" fillId="0" borderId="0" xfId="5" applyFont="1" applyAlignment="1">
      <alignment horizontal="left" vertical="top" wrapText="1"/>
    </xf>
    <xf numFmtId="0" fontId="39" fillId="10" borderId="9" xfId="5" applyFont="1" applyFill="1" applyBorder="1" applyAlignment="1">
      <alignment vertical="top" wrapText="1"/>
    </xf>
    <xf numFmtId="0" fontId="26" fillId="0" borderId="0" xfId="0" applyFont="1" applyFill="1" applyAlignment="1">
      <alignment vertical="top" wrapText="1"/>
    </xf>
    <xf numFmtId="0" fontId="0" fillId="0" borderId="0" xfId="0" applyFill="1" applyAlignment="1">
      <alignment vertical="top" wrapText="1"/>
    </xf>
    <xf numFmtId="0" fontId="16" fillId="0" borderId="0" xfId="0" applyFont="1" applyFill="1">
      <alignment vertical="top"/>
    </xf>
    <xf numFmtId="0" fontId="40" fillId="10" borderId="9" xfId="10" applyFont="1" applyAlignment="1">
      <alignment vertical="top"/>
    </xf>
    <xf numFmtId="0" fontId="39" fillId="10" borderId="9" xfId="10" applyFont="1" applyAlignment="1">
      <alignment vertical="top"/>
    </xf>
    <xf numFmtId="0" fontId="0" fillId="0" borderId="0" xfId="0" applyAlignment="1">
      <alignment horizontal="center" vertical="top"/>
    </xf>
    <xf numFmtId="0" fontId="16" fillId="0" borderId="0" xfId="0" applyFont="1" applyAlignment="1">
      <alignment horizontal="center" vertical="top"/>
    </xf>
    <xf numFmtId="164" fontId="0" fillId="0" borderId="0" xfId="0" applyNumberFormat="1" applyAlignment="1">
      <alignment horizontal="center" vertical="top"/>
    </xf>
    <xf numFmtId="0" fontId="39" fillId="0" borderId="0" xfId="5" applyAlignment="1">
      <alignment horizontal="center" vertical="top"/>
    </xf>
    <xf numFmtId="164" fontId="16" fillId="0" borderId="0" xfId="0" applyNumberFormat="1" applyFont="1" applyAlignment="1">
      <alignment horizontal="left" vertical="top"/>
    </xf>
    <xf numFmtId="0" fontId="16" fillId="0" borderId="0" xfId="0" applyFont="1" applyAlignment="1">
      <alignment horizontal="center" vertical="top" wrapText="1"/>
    </xf>
    <xf numFmtId="164" fontId="16" fillId="0" borderId="0" xfId="0" applyNumberFormat="1" applyFont="1" applyAlignment="1">
      <alignment horizontal="center" vertical="top" wrapText="1"/>
    </xf>
    <xf numFmtId="0" fontId="14" fillId="0" borderId="0" xfId="3" applyFont="1">
      <alignment horizontal="left" vertical="top"/>
    </xf>
    <xf numFmtId="0" fontId="23" fillId="0" borderId="0" xfId="13" applyFont="1" applyAlignment="1">
      <alignment horizontal="left" vertical="top"/>
    </xf>
    <xf numFmtId="0" fontId="23" fillId="0" borderId="0" xfId="13" applyFont="1" applyAlignment="1">
      <alignment horizontal="left" vertical="top" wrapText="1"/>
    </xf>
    <xf numFmtId="0" fontId="23" fillId="0" borderId="0" xfId="13" applyFont="1"/>
    <xf numFmtId="0" fontId="26" fillId="0" borderId="0" xfId="13" applyFont="1"/>
    <xf numFmtId="0" fontId="26" fillId="0" borderId="0" xfId="13" applyFont="1" applyFill="1"/>
    <xf numFmtId="0" fontId="26" fillId="0" borderId="0" xfId="13" quotePrefix="1" applyFont="1"/>
    <xf numFmtId="0" fontId="41" fillId="0" borderId="0" xfId="14">
      <alignment vertical="top"/>
    </xf>
    <xf numFmtId="0" fontId="41" fillId="0" borderId="0" xfId="14" applyAlignment="1">
      <alignment vertical="top"/>
    </xf>
    <xf numFmtId="0" fontId="39" fillId="10" borderId="9" xfId="5" applyFill="1" applyBorder="1" applyAlignment="1">
      <alignment horizontal="left" vertical="top" wrapText="1"/>
    </xf>
    <xf numFmtId="0" fontId="39" fillId="0" borderId="0" xfId="5"/>
    <xf numFmtId="0" fontId="39" fillId="0" borderId="0" xfId="5" applyFill="1"/>
    <xf numFmtId="0" fontId="15" fillId="0" borderId="0" xfId="4" applyFill="1" applyBorder="1">
      <alignment horizontal="center" vertical="top" wrapText="1"/>
    </xf>
    <xf numFmtId="0" fontId="39" fillId="10" borderId="27" xfId="5" applyFill="1" applyBorder="1" applyAlignment="1">
      <alignment vertical="top"/>
    </xf>
    <xf numFmtId="0" fontId="39" fillId="10" borderId="9" xfId="5" applyFill="1" applyBorder="1" applyAlignment="1">
      <alignment horizontal="left" vertical="top"/>
    </xf>
    <xf numFmtId="0" fontId="16" fillId="9" borderId="0" xfId="9" applyBorder="1" applyAlignment="1">
      <alignment horizontal="left" vertical="top"/>
    </xf>
    <xf numFmtId="0" fontId="0" fillId="0" borderId="0" xfId="0" applyAlignment="1">
      <alignment horizontal="left" vertical="top"/>
    </xf>
    <xf numFmtId="0" fontId="39" fillId="0" borderId="0" xfId="5" applyFill="1" applyBorder="1" applyAlignment="1">
      <alignment vertical="top"/>
    </xf>
    <xf numFmtId="0" fontId="0" fillId="0" borderId="0" xfId="0" applyFill="1" applyBorder="1">
      <alignment vertical="top"/>
    </xf>
    <xf numFmtId="0" fontId="39" fillId="15" borderId="0" xfId="5" applyFill="1" applyAlignment="1">
      <alignment horizontal="left" vertical="top"/>
    </xf>
    <xf numFmtId="0" fontId="0" fillId="15" borderId="0" xfId="0" applyFill="1">
      <alignment vertical="top"/>
    </xf>
    <xf numFmtId="0" fontId="14" fillId="15" borderId="0" xfId="0" applyFont="1" applyFill="1">
      <alignment vertical="top"/>
    </xf>
    <xf numFmtId="0" fontId="16" fillId="15" borderId="0" xfId="0" applyFont="1" applyFill="1">
      <alignment vertical="top"/>
    </xf>
    <xf numFmtId="0" fontId="0" fillId="15" borderId="0" xfId="0" applyFill="1" applyAlignment="1">
      <alignment horizontal="left" vertical="top" indent="2"/>
    </xf>
    <xf numFmtId="0" fontId="0" fillId="15" borderId="0" xfId="0" applyFill="1" applyAlignment="1">
      <alignment horizontal="left" vertical="top" wrapText="1"/>
    </xf>
    <xf numFmtId="0" fontId="0" fillId="15" borderId="0" xfId="0" applyFill="1" applyBorder="1">
      <alignment vertical="top"/>
    </xf>
    <xf numFmtId="0" fontId="0" fillId="15" borderId="24" xfId="0" applyFill="1" applyBorder="1">
      <alignment vertical="top"/>
    </xf>
    <xf numFmtId="0" fontId="0" fillId="15" borderId="28" xfId="0" applyFill="1" applyBorder="1">
      <alignment vertical="top"/>
    </xf>
    <xf numFmtId="0" fontId="0" fillId="15" borderId="0" xfId="0" applyFill="1" applyBorder="1" applyAlignment="1">
      <alignment horizontal="left" vertical="top" wrapText="1"/>
    </xf>
    <xf numFmtId="0" fontId="0" fillId="10" borderId="9" xfId="0" applyFill="1" applyBorder="1">
      <alignment vertical="top"/>
    </xf>
    <xf numFmtId="0" fontId="0" fillId="15" borderId="0" xfId="0" applyFill="1" applyAlignment="1">
      <alignment horizontal="left" vertical="top" wrapText="1"/>
    </xf>
    <xf numFmtId="0" fontId="0" fillId="15" borderId="0" xfId="0" applyFill="1" applyBorder="1" applyAlignment="1">
      <alignment horizontal="left" vertical="top" wrapText="1"/>
    </xf>
    <xf numFmtId="0" fontId="0" fillId="15" borderId="0" xfId="0" applyFill="1" applyAlignment="1">
      <alignment horizontal="left" vertical="top" wrapText="1" indent="2"/>
    </xf>
    <xf numFmtId="0" fontId="0" fillId="15" borderId="0" xfId="0" applyFill="1" applyBorder="1" applyAlignment="1">
      <alignment horizontal="left" vertical="top" wrapText="1" indent="2"/>
    </xf>
    <xf numFmtId="0" fontId="16" fillId="15" borderId="0" xfId="0" applyFont="1" applyFill="1" applyAlignment="1">
      <alignment horizontal="left" vertical="top" indent="1"/>
    </xf>
    <xf numFmtId="0" fontId="0" fillId="15" borderId="31" xfId="0" applyFill="1" applyBorder="1">
      <alignment vertical="top"/>
    </xf>
    <xf numFmtId="49" fontId="0" fillId="0" borderId="0" xfId="0" applyNumberFormat="1">
      <alignment vertical="top"/>
    </xf>
    <xf numFmtId="0" fontId="16" fillId="7" borderId="0" xfId="0" applyFont="1" applyFill="1" applyBorder="1" applyAlignment="1">
      <alignment horizontal="center" vertical="center"/>
    </xf>
    <xf numFmtId="0" fontId="16" fillId="7" borderId="0" xfId="0" applyFont="1" applyFill="1" applyBorder="1">
      <alignment vertical="top"/>
    </xf>
    <xf numFmtId="0" fontId="0" fillId="7" borderId="0" xfId="0" applyFill="1" applyBorder="1" applyAlignment="1">
      <alignment horizontal="center" vertical="center"/>
    </xf>
    <xf numFmtId="0" fontId="0" fillId="7" borderId="0" xfId="0" applyFill="1" applyBorder="1">
      <alignment vertical="top"/>
    </xf>
    <xf numFmtId="0" fontId="0" fillId="10" borderId="0" xfId="0" applyFill="1" applyBorder="1">
      <alignment vertical="top"/>
    </xf>
    <xf numFmtId="0" fontId="37" fillId="15" borderId="0" xfId="0" applyFont="1" applyFill="1" applyBorder="1" applyAlignment="1">
      <alignment vertical="top"/>
    </xf>
    <xf numFmtId="0" fontId="0" fillId="10" borderId="0" xfId="0" applyFill="1" applyBorder="1" applyAlignment="1">
      <alignment vertical="top"/>
    </xf>
    <xf numFmtId="0" fontId="0" fillId="7" borderId="40" xfId="0" applyFill="1" applyBorder="1">
      <alignment vertical="top"/>
    </xf>
    <xf numFmtId="0" fontId="0" fillId="7" borderId="41" xfId="0" applyFill="1" applyBorder="1">
      <alignment vertical="top"/>
    </xf>
    <xf numFmtId="0" fontId="0" fillId="7" borderId="42" xfId="0" applyFill="1" applyBorder="1">
      <alignment vertical="top"/>
    </xf>
    <xf numFmtId="0" fontId="16" fillId="7" borderId="43" xfId="0" applyFont="1" applyFill="1" applyBorder="1">
      <alignment vertical="top"/>
    </xf>
    <xf numFmtId="0" fontId="16" fillId="7" borderId="44" xfId="0" applyFont="1" applyFill="1" applyBorder="1">
      <alignment vertical="top"/>
    </xf>
    <xf numFmtId="0" fontId="0" fillId="7" borderId="43" xfId="0" applyFill="1" applyBorder="1">
      <alignment vertical="top"/>
    </xf>
    <xf numFmtId="0" fontId="0" fillId="7" borderId="44" xfId="0" applyFill="1" applyBorder="1">
      <alignment vertical="top"/>
    </xf>
    <xf numFmtId="0" fontId="0" fillId="10" borderId="43" xfId="0" applyFill="1" applyBorder="1">
      <alignment vertical="top"/>
    </xf>
    <xf numFmtId="0" fontId="0" fillId="10" borderId="44" xfId="0" applyFill="1" applyBorder="1">
      <alignment vertical="top"/>
    </xf>
    <xf numFmtId="0" fontId="0" fillId="10" borderId="44" xfId="0" applyFill="1" applyBorder="1" applyAlignment="1">
      <alignment vertical="top"/>
    </xf>
    <xf numFmtId="0" fontId="16" fillId="7" borderId="44" xfId="0" applyFont="1" applyFill="1" applyBorder="1" applyAlignment="1">
      <alignment horizontal="center" vertical="center"/>
    </xf>
    <xf numFmtId="0" fontId="0" fillId="7" borderId="44" xfId="0" applyFill="1" applyBorder="1" applyAlignment="1">
      <alignment horizontal="center" vertical="center"/>
    </xf>
    <xf numFmtId="0" fontId="0" fillId="10" borderId="43" xfId="0" applyFill="1" applyBorder="1" applyAlignment="1">
      <alignment vertical="top"/>
    </xf>
    <xf numFmtId="0" fontId="16" fillId="7" borderId="43" xfId="0" applyFont="1" applyFill="1" applyBorder="1" applyAlignment="1">
      <alignment horizontal="center" vertical="center"/>
    </xf>
    <xf numFmtId="0" fontId="0" fillId="7" borderId="43" xfId="0" applyFill="1" applyBorder="1" applyAlignment="1">
      <alignment horizontal="center" vertical="center"/>
    </xf>
    <xf numFmtId="0" fontId="39" fillId="0" borderId="0" xfId="5" quotePrefix="1" applyAlignment="1">
      <alignment horizontal="left" vertical="top"/>
    </xf>
    <xf numFmtId="0" fontId="0" fillId="0" borderId="0" xfId="0" quotePrefix="1">
      <alignment vertical="top"/>
    </xf>
    <xf numFmtId="0" fontId="39" fillId="0" borderId="0" xfId="5" quotePrefix="1" applyAlignment="1">
      <alignment vertical="top"/>
    </xf>
    <xf numFmtId="0" fontId="50" fillId="0" borderId="0" xfId="0" applyFont="1">
      <alignment vertical="top"/>
    </xf>
    <xf numFmtId="0" fontId="51" fillId="15" borderId="0" xfId="0" applyFont="1" applyFill="1">
      <alignment vertical="top"/>
    </xf>
    <xf numFmtId="0" fontId="0" fillId="15" borderId="0" xfId="0" applyFill="1" applyAlignment="1">
      <alignment horizontal="left" vertical="top" wrapText="1"/>
    </xf>
    <xf numFmtId="0" fontId="40" fillId="10" borderId="22" xfId="5" applyFont="1" applyFill="1" applyBorder="1" applyAlignment="1">
      <alignment horizontal="left" vertical="top"/>
    </xf>
    <xf numFmtId="0" fontId="39" fillId="0" borderId="10" xfId="5" applyFont="1" applyBorder="1" applyAlignment="1">
      <alignment horizontal="left" vertical="top"/>
    </xf>
    <xf numFmtId="0" fontId="42" fillId="15" borderId="30" xfId="15" applyFill="1" applyAlignment="1">
      <alignment horizontal="left"/>
    </xf>
    <xf numFmtId="0" fontId="0" fillId="15" borderId="0" xfId="0" applyFill="1" applyAlignment="1">
      <alignment horizontal="left" vertical="top" wrapText="1"/>
    </xf>
    <xf numFmtId="0" fontId="0" fillId="15" borderId="0" xfId="0" applyFill="1" applyBorder="1" applyAlignment="1">
      <alignment horizontal="left" vertical="top" wrapText="1"/>
    </xf>
    <xf numFmtId="0" fontId="39" fillId="15" borderId="0" xfId="5" applyFill="1" applyAlignment="1">
      <alignment horizontal="left" wrapText="1"/>
    </xf>
    <xf numFmtId="0" fontId="16" fillId="15" borderId="0" xfId="0" applyFont="1" applyFill="1" applyAlignment="1">
      <alignment horizontal="left" wrapText="1"/>
    </xf>
    <xf numFmtId="0" fontId="0" fillId="10" borderId="9" xfId="10" applyFont="1" applyBorder="1" applyAlignment="1">
      <alignment horizontal="left" vertical="top"/>
    </xf>
    <xf numFmtId="0" fontId="44" fillId="15" borderId="29" xfId="16" applyFill="1"/>
    <xf numFmtId="0" fontId="0" fillId="15" borderId="0" xfId="0" applyFill="1" applyAlignment="1">
      <alignment horizontal="left" vertical="top" wrapText="1" indent="2"/>
    </xf>
    <xf numFmtId="0" fontId="0" fillId="15" borderId="0" xfId="0" applyFill="1" applyBorder="1" applyAlignment="1">
      <alignment horizontal="left" vertical="top" wrapText="1" indent="2"/>
    </xf>
    <xf numFmtId="0" fontId="0" fillId="15" borderId="0" xfId="0" applyFill="1" applyAlignment="1">
      <alignment vertical="top" wrapText="1"/>
    </xf>
    <xf numFmtId="0" fontId="47" fillId="15" borderId="1" xfId="0" applyFont="1" applyFill="1" applyBorder="1" applyAlignment="1">
      <alignment horizontal="center" vertical="center"/>
    </xf>
    <xf numFmtId="0" fontId="45" fillId="15" borderId="37" xfId="0" applyFont="1" applyFill="1" applyBorder="1" applyAlignment="1">
      <alignment horizontal="center" vertical="top" wrapText="1"/>
    </xf>
    <xf numFmtId="0" fontId="45" fillId="15" borderId="38" xfId="0" applyFont="1" applyFill="1" applyBorder="1" applyAlignment="1">
      <alignment horizontal="center" vertical="top" wrapText="1"/>
    </xf>
    <xf numFmtId="0" fontId="45" fillId="15" borderId="39" xfId="0" applyFont="1" applyFill="1" applyBorder="1" applyAlignment="1">
      <alignment horizontal="center" vertical="top" wrapText="1"/>
    </xf>
    <xf numFmtId="0" fontId="33" fillId="10" borderId="6" xfId="0" applyFont="1" applyFill="1" applyBorder="1" applyAlignment="1">
      <alignment horizontal="center" vertical="center"/>
    </xf>
    <xf numFmtId="0" fontId="33" fillId="10" borderId="33" xfId="0" applyFont="1" applyFill="1" applyBorder="1" applyAlignment="1">
      <alignment horizontal="center" vertical="center"/>
    </xf>
    <xf numFmtId="0" fontId="33" fillId="10" borderId="8" xfId="0" applyFont="1" applyFill="1" applyBorder="1" applyAlignment="1">
      <alignment horizontal="center" vertical="center"/>
    </xf>
    <xf numFmtId="0" fontId="33" fillId="10" borderId="34" xfId="0" applyFont="1" applyFill="1" applyBorder="1" applyAlignment="1">
      <alignment horizontal="center" vertical="center"/>
    </xf>
    <xf numFmtId="0" fontId="33" fillId="10" borderId="35" xfId="0" applyFont="1" applyFill="1" applyBorder="1" applyAlignment="1">
      <alignment horizontal="center" vertical="center"/>
    </xf>
    <xf numFmtId="0" fontId="33" fillId="10" borderId="36"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33" xfId="0" applyFont="1" applyFill="1" applyBorder="1" applyAlignment="1">
      <alignment horizontal="center" vertical="center"/>
    </xf>
    <xf numFmtId="0" fontId="0" fillId="7" borderId="8" xfId="0" applyFill="1" applyBorder="1" applyAlignment="1">
      <alignment horizontal="center" vertical="center"/>
    </xf>
    <xf numFmtId="0" fontId="0" fillId="7" borderId="34" xfId="0" applyFill="1" applyBorder="1" applyAlignment="1">
      <alignment horizontal="center" vertical="center"/>
    </xf>
    <xf numFmtId="0" fontId="0" fillId="7" borderId="35" xfId="0" applyFill="1" applyBorder="1" applyAlignment="1">
      <alignment horizontal="center" vertical="center"/>
    </xf>
    <xf numFmtId="0" fontId="0" fillId="7" borderId="36" xfId="0" applyFill="1" applyBorder="1" applyAlignment="1">
      <alignment horizontal="center" vertical="center"/>
    </xf>
    <xf numFmtId="0" fontId="46" fillId="7" borderId="0" xfId="0" applyFont="1" applyFill="1" applyBorder="1" applyAlignment="1">
      <alignment horizontal="center" vertical="center" textRotation="90" wrapText="1"/>
    </xf>
    <xf numFmtId="0" fontId="46" fillId="10" borderId="44" xfId="0" applyFont="1" applyFill="1" applyBorder="1" applyAlignment="1">
      <alignment horizontal="center" vertical="center" textRotation="90"/>
    </xf>
    <xf numFmtId="0" fontId="48" fillId="10" borderId="48" xfId="0" applyFont="1" applyFill="1" applyBorder="1" applyAlignment="1">
      <alignment horizontal="center" vertical="top"/>
    </xf>
    <xf numFmtId="0" fontId="48" fillId="10" borderId="32" xfId="0" applyFont="1" applyFill="1" applyBorder="1" applyAlignment="1">
      <alignment horizontal="center" vertical="top"/>
    </xf>
    <xf numFmtId="0" fontId="48" fillId="10" borderId="49" xfId="0" applyFont="1" applyFill="1" applyBorder="1" applyAlignment="1">
      <alignment horizontal="center" vertical="top"/>
    </xf>
    <xf numFmtId="0" fontId="49" fillId="10" borderId="43" xfId="0" applyFont="1" applyFill="1" applyBorder="1" applyAlignment="1">
      <alignment horizontal="center" vertical="center"/>
    </xf>
    <xf numFmtId="0" fontId="49" fillId="10" borderId="0" xfId="0" applyFont="1" applyFill="1" applyBorder="1" applyAlignment="1">
      <alignment horizontal="center" vertical="center"/>
    </xf>
    <xf numFmtId="0" fontId="49" fillId="10" borderId="44" xfId="0" applyFont="1" applyFill="1" applyBorder="1" applyAlignment="1">
      <alignment horizontal="center" vertical="center"/>
    </xf>
    <xf numFmtId="0" fontId="49" fillId="10" borderId="45" xfId="0" applyFont="1" applyFill="1" applyBorder="1" applyAlignment="1">
      <alignment horizontal="center" vertical="center"/>
    </xf>
    <xf numFmtId="0" fontId="49" fillId="10" borderId="46" xfId="0" applyFont="1" applyFill="1" applyBorder="1" applyAlignment="1">
      <alignment horizontal="center" vertical="center"/>
    </xf>
    <xf numFmtId="0" fontId="49" fillId="10" borderId="47" xfId="0" applyFont="1" applyFill="1" applyBorder="1" applyAlignment="1">
      <alignment horizontal="center" vertical="center"/>
    </xf>
  </cellXfs>
  <cellStyles count="17">
    <cellStyle name="20% - Accent1" xfId="11" builtinId="30"/>
    <cellStyle name="40% - Accent3" xfId="1" builtinId="39"/>
    <cellStyle name="Code" xfId="4"/>
    <cellStyle name="DELETED" xfId="6"/>
    <cellStyle name="DIM Caption" xfId="9"/>
    <cellStyle name="ECB requirement" xfId="10"/>
    <cellStyle name="Example" xfId="14"/>
    <cellStyle name="Followed Hyperlink" xfId="12" builtinId="9" customBuiltin="1"/>
    <cellStyle name="Hyperlink" xfId="5" builtinId="8" customBuiltin="1"/>
    <cellStyle name="INTRO_H1" xfId="15"/>
    <cellStyle name="INTRO_H2" xfId="16"/>
    <cellStyle name="MODIFIED" xfId="8"/>
    <cellStyle name="NEW!" xfId="7"/>
    <cellStyle name="Normal" xfId="0" builtinId="0" customBuiltin="1"/>
    <cellStyle name="Normal 2" xfId="13"/>
    <cellStyle name="Normal 7 2" xfId="2"/>
    <cellStyle name="Table caption" xfId="3"/>
  </cellStyles>
  <dxfs count="15">
    <dxf>
      <numFmt numFmtId="30" formatCode="@"/>
    </dxf>
    <dxf>
      <numFmt numFmtId="30" formatCode="@"/>
    </dxf>
    <dxf>
      <font>
        <strike val="0"/>
        <outline val="0"/>
        <shadow val="0"/>
        <vertAlign val="baseline"/>
        <sz val="11"/>
        <color auto="1"/>
        <name val="Arial"/>
        <scheme val="none"/>
      </font>
    </dxf>
    <dxf>
      <font>
        <strike val="0"/>
        <outline val="0"/>
        <shadow val="0"/>
        <vertAlign val="baseline"/>
        <sz val="11"/>
        <color auto="1"/>
        <name val="Arial"/>
        <scheme val="none"/>
      </font>
    </dxf>
    <dxf>
      <font>
        <strike val="0"/>
        <outline val="0"/>
        <shadow val="0"/>
        <vertAlign val="baseline"/>
        <sz val="11"/>
        <color auto="1"/>
        <name val="Arial"/>
        <scheme val="none"/>
      </font>
    </dxf>
    <dxf>
      <font>
        <strike val="0"/>
        <outline val="0"/>
        <shadow val="0"/>
        <vertAlign val="baseline"/>
        <sz val="11"/>
        <color auto="1"/>
        <name val="Arial"/>
        <scheme val="none"/>
      </font>
    </dxf>
    <dxf>
      <font>
        <strike val="0"/>
        <outline val="0"/>
        <shadow val="0"/>
        <vertAlign val="baseline"/>
        <sz val="11"/>
        <color auto="1"/>
        <name val="Arial"/>
        <scheme val="none"/>
      </font>
    </dxf>
    <dxf>
      <font>
        <strike val="0"/>
        <outline val="0"/>
        <shadow val="0"/>
        <vertAlign val="baseline"/>
        <sz val="11"/>
        <color auto="1"/>
        <name val="Arial"/>
        <scheme val="none"/>
      </font>
    </dxf>
    <dxf>
      <font>
        <strike val="0"/>
        <outline val="0"/>
        <shadow val="0"/>
        <vertAlign val="baseline"/>
        <sz val="11"/>
        <color auto="1"/>
        <name val="Arial"/>
        <scheme val="none"/>
      </font>
    </dxf>
    <dxf>
      <font>
        <strike val="0"/>
        <outline val="0"/>
        <shadow val="0"/>
        <vertAlign val="baseline"/>
        <name val="Arial"/>
        <scheme val="none"/>
      </font>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4</xdr:col>
      <xdr:colOff>56029</xdr:colOff>
      <xdr:row>7</xdr:row>
      <xdr:rowOff>78441</xdr:rowOff>
    </xdr:from>
    <xdr:to>
      <xdr:col>4</xdr:col>
      <xdr:colOff>390923</xdr:colOff>
      <xdr:row>7</xdr:row>
      <xdr:rowOff>78441</xdr:rowOff>
    </xdr:to>
    <xdr:cxnSp macro="">
      <xdr:nvCxnSpPr>
        <xdr:cNvPr id="50" name="Straight Arrow Connector 49"/>
        <xdr:cNvCxnSpPr/>
      </xdr:nvCxnSpPr>
      <xdr:spPr>
        <a:xfrm>
          <a:off x="3025588" y="7519147"/>
          <a:ext cx="334894" cy="0"/>
        </a:xfrm>
        <a:prstGeom prst="straightConnector1">
          <a:avLst/>
        </a:prstGeom>
        <a:ln w="19050">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7</xdr:col>
      <xdr:colOff>67236</xdr:colOff>
      <xdr:row>7</xdr:row>
      <xdr:rowOff>78441</xdr:rowOff>
    </xdr:from>
    <xdr:to>
      <xdr:col>8</xdr:col>
      <xdr:colOff>166806</xdr:colOff>
      <xdr:row>7</xdr:row>
      <xdr:rowOff>78441</xdr:rowOff>
    </xdr:to>
    <xdr:cxnSp macro="">
      <xdr:nvCxnSpPr>
        <xdr:cNvPr id="51" name="Straight Arrow Connector 50"/>
        <xdr:cNvCxnSpPr/>
      </xdr:nvCxnSpPr>
      <xdr:spPr>
        <a:xfrm>
          <a:off x="4829736" y="7519147"/>
          <a:ext cx="334894" cy="0"/>
        </a:xfrm>
        <a:prstGeom prst="straightConnector1">
          <a:avLst/>
        </a:prstGeom>
        <a:ln w="19050">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11</xdr:col>
      <xdr:colOff>44824</xdr:colOff>
      <xdr:row>7</xdr:row>
      <xdr:rowOff>67235</xdr:rowOff>
    </xdr:from>
    <xdr:to>
      <xdr:col>11</xdr:col>
      <xdr:colOff>379718</xdr:colOff>
      <xdr:row>7</xdr:row>
      <xdr:rowOff>67235</xdr:rowOff>
    </xdr:to>
    <xdr:cxnSp macro="">
      <xdr:nvCxnSpPr>
        <xdr:cNvPr id="52" name="Straight Arrow Connector 51"/>
        <xdr:cNvCxnSpPr/>
      </xdr:nvCxnSpPr>
      <xdr:spPr>
        <a:xfrm>
          <a:off x="6645089" y="7507941"/>
          <a:ext cx="334894" cy="0"/>
        </a:xfrm>
        <a:prstGeom prst="straightConnector1">
          <a:avLst/>
        </a:prstGeom>
        <a:ln w="19050">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14</xdr:col>
      <xdr:colOff>67236</xdr:colOff>
      <xdr:row>7</xdr:row>
      <xdr:rowOff>67235</xdr:rowOff>
    </xdr:from>
    <xdr:to>
      <xdr:col>14</xdr:col>
      <xdr:colOff>402130</xdr:colOff>
      <xdr:row>7</xdr:row>
      <xdr:rowOff>67235</xdr:rowOff>
    </xdr:to>
    <xdr:cxnSp macro="">
      <xdr:nvCxnSpPr>
        <xdr:cNvPr id="53" name="Straight Arrow Connector 52"/>
        <xdr:cNvCxnSpPr/>
      </xdr:nvCxnSpPr>
      <xdr:spPr>
        <a:xfrm>
          <a:off x="8460442" y="7507941"/>
          <a:ext cx="334894" cy="0"/>
        </a:xfrm>
        <a:prstGeom prst="straightConnector1">
          <a:avLst/>
        </a:prstGeom>
        <a:ln w="19050">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17</xdr:col>
      <xdr:colOff>44824</xdr:colOff>
      <xdr:row>7</xdr:row>
      <xdr:rowOff>56029</xdr:rowOff>
    </xdr:from>
    <xdr:to>
      <xdr:col>18</xdr:col>
      <xdr:colOff>144394</xdr:colOff>
      <xdr:row>7</xdr:row>
      <xdr:rowOff>56029</xdr:rowOff>
    </xdr:to>
    <xdr:cxnSp macro="">
      <xdr:nvCxnSpPr>
        <xdr:cNvPr id="54" name="Straight Arrow Connector 53"/>
        <xdr:cNvCxnSpPr/>
      </xdr:nvCxnSpPr>
      <xdr:spPr>
        <a:xfrm>
          <a:off x="10230971" y="7496735"/>
          <a:ext cx="334894" cy="0"/>
        </a:xfrm>
        <a:prstGeom prst="straightConnector1">
          <a:avLst/>
        </a:prstGeom>
        <a:ln w="19050">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33617</xdr:colOff>
      <xdr:row>7</xdr:row>
      <xdr:rowOff>78441</xdr:rowOff>
    </xdr:from>
    <xdr:to>
      <xdr:col>21</xdr:col>
      <xdr:colOff>368511</xdr:colOff>
      <xdr:row>7</xdr:row>
      <xdr:rowOff>78441</xdr:rowOff>
    </xdr:to>
    <xdr:cxnSp macro="">
      <xdr:nvCxnSpPr>
        <xdr:cNvPr id="55" name="Straight Arrow Connector 54"/>
        <xdr:cNvCxnSpPr/>
      </xdr:nvCxnSpPr>
      <xdr:spPr>
        <a:xfrm>
          <a:off x="12057529" y="7519147"/>
          <a:ext cx="334894" cy="0"/>
        </a:xfrm>
        <a:prstGeom prst="straightConnector1">
          <a:avLst/>
        </a:prstGeom>
        <a:ln w="19050">
          <a:tailEnd type="triangle"/>
        </a:ln>
      </xdr:spPr>
      <xdr:style>
        <a:lnRef idx="1">
          <a:schemeClr val="accent3"/>
        </a:lnRef>
        <a:fillRef idx="0">
          <a:schemeClr val="accent3"/>
        </a:fillRef>
        <a:effectRef idx="0">
          <a:schemeClr val="accent3"/>
        </a:effectRef>
        <a:fontRef idx="minor">
          <a:schemeClr val="tx1"/>
        </a:fontRef>
      </xdr:style>
    </xdr:cxnSp>
    <xdr:clientData/>
  </xdr:twoCellAnchor>
  <xdr:oneCellAnchor>
    <xdr:from>
      <xdr:col>6</xdr:col>
      <xdr:colOff>743</xdr:colOff>
      <xdr:row>10</xdr:row>
      <xdr:rowOff>33429</xdr:rowOff>
    </xdr:from>
    <xdr:ext cx="742950" cy="264560"/>
    <xdr:sp macro="" textlink="">
      <xdr:nvSpPr>
        <xdr:cNvPr id="84" name="TextBox 83"/>
        <xdr:cNvSpPr txBox="1"/>
      </xdr:nvSpPr>
      <xdr:spPr>
        <a:xfrm>
          <a:off x="3313786" y="2311146"/>
          <a:ext cx="742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CH" sz="1100" baseline="0">
              <a:solidFill>
                <a:schemeClr val="accent2">
                  <a:lumMod val="75000"/>
                </a:schemeClr>
              </a:solidFill>
              <a:latin typeface="Arial" panose="020B0604020202020204" pitchFamily="34" charset="0"/>
              <a:cs typeface="Arial" panose="020B0604020202020204" pitchFamily="34" charset="0"/>
            </a:rPr>
            <a:t>V1.20</a:t>
          </a:r>
          <a:r>
            <a:rPr lang="fr-CH" sz="1100" baseline="30000">
              <a:solidFill>
                <a:schemeClr val="accent2">
                  <a:lumMod val="75000"/>
                </a:schemeClr>
              </a:solidFill>
              <a:latin typeface="Arial" panose="020B0604020202020204" pitchFamily="34" charset="0"/>
              <a:cs typeface="Arial" panose="020B0604020202020204" pitchFamily="34" charset="0"/>
            </a:rPr>
            <a:t>†</a:t>
          </a:r>
        </a:p>
      </xdr:txBody>
    </xdr:sp>
    <xdr:clientData/>
  </xdr:oneCellAnchor>
  <xdr:oneCellAnchor>
    <xdr:from>
      <xdr:col>10</xdr:col>
      <xdr:colOff>10782</xdr:colOff>
      <xdr:row>10</xdr:row>
      <xdr:rowOff>43897</xdr:rowOff>
    </xdr:from>
    <xdr:ext cx="742950" cy="264560"/>
    <xdr:sp macro="" textlink="">
      <xdr:nvSpPr>
        <xdr:cNvPr id="85" name="TextBox 84"/>
        <xdr:cNvSpPr txBox="1"/>
      </xdr:nvSpPr>
      <xdr:spPr>
        <a:xfrm>
          <a:off x="5311652" y="2321614"/>
          <a:ext cx="742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CH" sz="1100" baseline="0">
              <a:solidFill>
                <a:schemeClr val="accent2">
                  <a:lumMod val="75000"/>
                </a:schemeClr>
              </a:solidFill>
              <a:latin typeface="Arial" panose="020B0604020202020204" pitchFamily="34" charset="0"/>
              <a:cs typeface="Arial" panose="020B0604020202020204" pitchFamily="34" charset="0"/>
            </a:rPr>
            <a:t>V1.42</a:t>
          </a:r>
        </a:p>
      </xdr:txBody>
    </xdr:sp>
    <xdr:clientData/>
  </xdr:oneCellAnchor>
  <xdr:oneCellAnchor>
    <xdr:from>
      <xdr:col>16</xdr:col>
      <xdr:colOff>23006</xdr:colOff>
      <xdr:row>10</xdr:row>
      <xdr:rowOff>29887</xdr:rowOff>
    </xdr:from>
    <xdr:ext cx="742950" cy="264560"/>
    <xdr:sp macro="" textlink="">
      <xdr:nvSpPr>
        <xdr:cNvPr id="86" name="TextBox 85"/>
        <xdr:cNvSpPr txBox="1"/>
      </xdr:nvSpPr>
      <xdr:spPr>
        <a:xfrm>
          <a:off x="8935093" y="2307604"/>
          <a:ext cx="742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CH" sz="1100" baseline="0">
              <a:solidFill>
                <a:schemeClr val="accent2">
                  <a:lumMod val="75000"/>
                </a:schemeClr>
              </a:solidFill>
              <a:latin typeface="Arial" panose="020B0604020202020204" pitchFamily="34" charset="0"/>
              <a:cs typeface="Arial" panose="020B0604020202020204" pitchFamily="34" charset="0"/>
            </a:rPr>
            <a:t>V1.42</a:t>
          </a:r>
        </a:p>
      </xdr:txBody>
    </xdr:sp>
    <xdr:clientData/>
  </xdr:oneCellAnchor>
  <xdr:oneCellAnchor>
    <xdr:from>
      <xdr:col>20</xdr:col>
      <xdr:colOff>1185</xdr:colOff>
      <xdr:row>10</xdr:row>
      <xdr:rowOff>40284</xdr:rowOff>
    </xdr:from>
    <xdr:ext cx="742950" cy="264560"/>
    <xdr:sp macro="" textlink="">
      <xdr:nvSpPr>
        <xdr:cNvPr id="87" name="TextBox 86"/>
        <xdr:cNvSpPr txBox="1"/>
      </xdr:nvSpPr>
      <xdr:spPr>
        <a:xfrm>
          <a:off x="10901098" y="2318001"/>
          <a:ext cx="742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CH" sz="1100" baseline="0">
              <a:solidFill>
                <a:schemeClr val="accent2">
                  <a:lumMod val="75000"/>
                </a:schemeClr>
              </a:solidFill>
              <a:latin typeface="Arial" panose="020B0604020202020204" pitchFamily="34" charset="0"/>
              <a:cs typeface="Arial" panose="020B0604020202020204" pitchFamily="34" charset="0"/>
            </a:rPr>
            <a:t>V1.21</a:t>
          </a:r>
          <a:r>
            <a:rPr lang="fr-CH" sz="1100" baseline="30000">
              <a:solidFill>
                <a:schemeClr val="accent2">
                  <a:lumMod val="75000"/>
                </a:schemeClr>
              </a:solidFill>
              <a:latin typeface="Arial" panose="020B0604020202020204" pitchFamily="34" charset="0"/>
              <a:cs typeface="Arial" panose="020B0604020202020204" pitchFamily="34" charset="0"/>
            </a:rPr>
            <a:t>†</a:t>
          </a:r>
        </a:p>
      </xdr:txBody>
    </xdr:sp>
    <xdr:clientData/>
  </xdr:oneCellAnchor>
  <xdr:twoCellAnchor>
    <xdr:from>
      <xdr:col>6</xdr:col>
      <xdr:colOff>0</xdr:colOff>
      <xdr:row>9</xdr:row>
      <xdr:rowOff>0</xdr:rowOff>
    </xdr:from>
    <xdr:to>
      <xdr:col>6</xdr:col>
      <xdr:colOff>0</xdr:colOff>
      <xdr:row>12</xdr:row>
      <xdr:rowOff>6569</xdr:rowOff>
    </xdr:to>
    <xdr:cxnSp macro="">
      <xdr:nvCxnSpPr>
        <xdr:cNvPr id="89" name="Straight Arrow Connector 88"/>
        <xdr:cNvCxnSpPr/>
      </xdr:nvCxnSpPr>
      <xdr:spPr>
        <a:xfrm>
          <a:off x="3291052" y="2102069"/>
          <a:ext cx="0" cy="56493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19707</xdr:colOff>
      <xdr:row>9</xdr:row>
      <xdr:rowOff>0</xdr:rowOff>
    </xdr:from>
    <xdr:to>
      <xdr:col>10</xdr:col>
      <xdr:colOff>19707</xdr:colOff>
      <xdr:row>12</xdr:row>
      <xdr:rowOff>6569</xdr:rowOff>
    </xdr:to>
    <xdr:cxnSp macro="">
      <xdr:nvCxnSpPr>
        <xdr:cNvPr id="90" name="Straight Arrow Connector 89"/>
        <xdr:cNvCxnSpPr/>
      </xdr:nvCxnSpPr>
      <xdr:spPr>
        <a:xfrm>
          <a:off x="5281448" y="2102069"/>
          <a:ext cx="0" cy="56493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26275</xdr:colOff>
      <xdr:row>9</xdr:row>
      <xdr:rowOff>0</xdr:rowOff>
    </xdr:from>
    <xdr:to>
      <xdr:col>16</xdr:col>
      <xdr:colOff>26275</xdr:colOff>
      <xdr:row>12</xdr:row>
      <xdr:rowOff>6569</xdr:rowOff>
    </xdr:to>
    <xdr:cxnSp macro="">
      <xdr:nvCxnSpPr>
        <xdr:cNvPr id="91" name="Straight Arrow Connector 90"/>
        <xdr:cNvCxnSpPr/>
      </xdr:nvCxnSpPr>
      <xdr:spPr>
        <a:xfrm>
          <a:off x="8874672" y="2102069"/>
          <a:ext cx="0" cy="56493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19707</xdr:colOff>
      <xdr:row>8</xdr:row>
      <xdr:rowOff>177362</xdr:rowOff>
    </xdr:from>
    <xdr:to>
      <xdr:col>20</xdr:col>
      <xdr:colOff>19707</xdr:colOff>
      <xdr:row>12</xdr:row>
      <xdr:rowOff>0</xdr:rowOff>
    </xdr:to>
    <xdr:cxnSp macro="">
      <xdr:nvCxnSpPr>
        <xdr:cNvPr id="92" name="Straight Arrow Connector 91"/>
        <xdr:cNvCxnSpPr/>
      </xdr:nvCxnSpPr>
      <xdr:spPr>
        <a:xfrm>
          <a:off x="10838793" y="2095500"/>
          <a:ext cx="0" cy="56493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ables/table1.xml><?xml version="1.0" encoding="utf-8"?>
<table xmlns="http://schemas.openxmlformats.org/spreadsheetml/2006/main" id="1" name="Table1" displayName="Table1" ref="A5:E18" totalsRowShown="0">
  <autoFilter ref="A5:E18"/>
  <tableColumns count="5">
    <tableColumn id="3" name="Concerns" dataDxfId="14"/>
    <tableColumn id="4" name="Previous table" dataDxfId="13"/>
    <tableColumn id="5" name="New table" dataDxfId="12"/>
    <tableColumn id="1" name="Dimension" dataDxfId="11"/>
    <tableColumn id="2" name="Description" dataDxfId="10"/>
  </tableColumns>
  <tableStyleInfo name="TableStyleMedium9" showFirstColumn="0" showLastColumn="0" showRowStripes="1" showColumnStripes="0"/>
</table>
</file>

<file path=xl/tables/table2.xml><?xml version="1.0" encoding="utf-8"?>
<table xmlns="http://schemas.openxmlformats.org/spreadsheetml/2006/main" id="2" name="Table13" displayName="Table13" ref="A6:F61" totalsRowShown="0" headerRowDxfId="9" dataDxfId="8" dataCellStyle="Normal">
  <autoFilter ref="A6:F61"/>
  <sortState ref="A6:F60">
    <sortCondition ref="A5:A60"/>
  </sortState>
  <tableColumns count="6">
    <tableColumn id="1" name="CDDP5 order" dataDxfId="7" dataCellStyle="Normal"/>
    <tableColumn id="2" name="CDDP5 table code" dataDxfId="6" dataCellStyle="Normal"/>
    <tableColumn id="3" name="CDDP5 table name" dataDxfId="5" dataCellStyle="Normal"/>
    <tableColumn id="4" name="CDDP6 table code" dataDxfId="4" dataCellStyle="Normal"/>
    <tableColumn id="5" name="CDDP6 table name" dataDxfId="3" dataCellStyle="Normal"/>
    <tableColumn id="6" name="CDDP6 order" dataDxfId="2" dataCellStyle="Normal"/>
  </tableColumns>
  <tableStyleInfo name="TableStyleMedium2" showFirstColumn="0" showLastColumn="0" showRowStripes="1" showColumnStripes="0"/>
</table>
</file>

<file path=xl/tables/table3.xml><?xml version="1.0" encoding="utf-8"?>
<table xmlns="http://schemas.openxmlformats.org/spreadsheetml/2006/main" id="3" name="MCC" displayName="MCC" ref="A9:C345" totalsRowShown="0" headerRowDxfId="1">
  <autoFilter ref="A9:C345"/>
  <tableColumns count="3">
    <tableColumn id="1" name="Code" dataCellStyle="Code"/>
    <tableColumn id="2" name="Description" dataDxfId="0"/>
    <tableColumn id="3" name="Notes"/>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ur-lex.europa.eu/legal-content/EN/TXT/?uri=CELEX:32020R2011"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https://eur-lex.europa.eu/legal-content/EN/TXT/?uri=celex%3A32015R0751" TargetMode="External"/><Relationship Id="rId1" Type="http://schemas.openxmlformats.org/officeDocument/2006/relationships/hyperlink" Target="https://eur-lex.europa.eu/legal-content/EN/TXT/?uri=CELEX:32015L2366" TargetMode="Externa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O441"/>
  <sheetViews>
    <sheetView workbookViewId="0"/>
  </sheetViews>
  <sheetFormatPr defaultRowHeight="14.25" x14ac:dyDescent="0.2"/>
  <cols>
    <col min="1" max="1" width="13.5" style="21" customWidth="1"/>
    <col min="2" max="2" width="37.875" style="22" customWidth="1"/>
    <col min="3" max="3" width="14.25" style="23" customWidth="1"/>
    <col min="4" max="4" width="14.5" style="22" customWidth="1"/>
    <col min="5" max="5" width="12" style="21" customWidth="1"/>
    <col min="6" max="6" width="17" style="21" customWidth="1"/>
    <col min="7" max="7" width="15.75" style="22" customWidth="1"/>
    <col min="8" max="8" width="10.625" style="21" customWidth="1"/>
    <col min="9" max="9" width="39.375" style="21" customWidth="1"/>
    <col min="10" max="10" width="14.25" style="21" customWidth="1"/>
    <col min="11" max="11" width="22.75" style="21" customWidth="1"/>
    <col min="12" max="12" width="9.875" style="21" customWidth="1"/>
    <col min="13" max="13" width="39.625" style="21" customWidth="1"/>
    <col min="14" max="14" width="36.875" style="22" customWidth="1"/>
    <col min="17" max="17" width="8"/>
    <col min="18" max="18" width="14" bestFit="1" customWidth="1"/>
    <col min="19" max="19" width="17.125" bestFit="1" customWidth="1"/>
    <col min="20" max="20" width="7.625" customWidth="1"/>
  </cols>
  <sheetData>
    <row r="1" spans="1:15" s="2" customFormat="1" ht="28.5" x14ac:dyDescent="0.2">
      <c r="A1" s="4" t="s">
        <v>371</v>
      </c>
      <c r="B1" s="5"/>
      <c r="C1" s="6"/>
      <c r="D1" s="5"/>
      <c r="E1" s="4"/>
      <c r="F1" s="4"/>
      <c r="G1" s="5"/>
      <c r="H1" s="4" t="s">
        <v>372</v>
      </c>
      <c r="I1" s="4"/>
      <c r="J1" s="4"/>
      <c r="K1" s="4"/>
      <c r="L1" s="4"/>
      <c r="M1" s="4"/>
      <c r="N1" s="5"/>
    </row>
    <row r="2" spans="1:15" ht="30" x14ac:dyDescent="0.2">
      <c r="A2" s="7" t="s">
        <v>368</v>
      </c>
      <c r="B2" s="7" t="s">
        <v>367</v>
      </c>
      <c r="C2" s="7" t="s">
        <v>365</v>
      </c>
      <c r="D2" s="7" t="s">
        <v>369</v>
      </c>
      <c r="E2" s="7" t="s">
        <v>375</v>
      </c>
      <c r="F2" s="7" t="s">
        <v>370</v>
      </c>
      <c r="G2" s="8" t="s">
        <v>247</v>
      </c>
      <c r="H2" s="9" t="s">
        <v>368</v>
      </c>
      <c r="I2" s="10" t="s">
        <v>367</v>
      </c>
      <c r="J2" s="10" t="s">
        <v>365</v>
      </c>
      <c r="K2" s="10" t="s">
        <v>369</v>
      </c>
      <c r="L2" s="11" t="s">
        <v>343</v>
      </c>
      <c r="M2" s="10" t="s">
        <v>0</v>
      </c>
      <c r="N2" s="11" t="s">
        <v>374</v>
      </c>
      <c r="O2" s="3" t="s">
        <v>397</v>
      </c>
    </row>
    <row r="3" spans="1:15" ht="15" x14ac:dyDescent="0.2">
      <c r="A3" s="27" t="s">
        <v>228</v>
      </c>
      <c r="B3" s="27" t="s">
        <v>313</v>
      </c>
      <c r="C3" s="27" t="s">
        <v>344</v>
      </c>
      <c r="D3" s="27" t="s">
        <v>32</v>
      </c>
      <c r="E3" s="27" t="s">
        <v>1</v>
      </c>
      <c r="F3" s="27" t="s">
        <v>2</v>
      </c>
      <c r="G3" s="28" t="s">
        <v>261</v>
      </c>
      <c r="H3" s="12"/>
      <c r="I3" s="12"/>
      <c r="J3" s="12"/>
      <c r="K3" s="12"/>
      <c r="L3" s="12"/>
      <c r="M3" s="12"/>
      <c r="N3" s="13" t="s">
        <v>377</v>
      </c>
    </row>
    <row r="4" spans="1:15" x14ac:dyDescent="0.2">
      <c r="A4" s="24" t="s">
        <v>228</v>
      </c>
      <c r="B4" s="24" t="s">
        <v>313</v>
      </c>
      <c r="C4" s="24" t="s">
        <v>345</v>
      </c>
      <c r="D4" s="24" t="s">
        <v>309</v>
      </c>
      <c r="E4" s="24" t="s">
        <v>70</v>
      </c>
      <c r="F4" s="24" t="s">
        <v>71</v>
      </c>
      <c r="G4" s="25" t="s">
        <v>264</v>
      </c>
      <c r="H4" s="14" t="s">
        <v>373</v>
      </c>
      <c r="I4" s="14" t="s">
        <v>313</v>
      </c>
      <c r="J4" s="14" t="s">
        <v>344</v>
      </c>
      <c r="K4" s="14" t="s">
        <v>309</v>
      </c>
      <c r="L4" s="14" t="s">
        <v>70</v>
      </c>
      <c r="M4" s="14" t="s">
        <v>354</v>
      </c>
      <c r="N4" s="15"/>
    </row>
    <row r="5" spans="1:15" x14ac:dyDescent="0.2">
      <c r="A5" s="27" t="s">
        <v>228</v>
      </c>
      <c r="B5" s="27" t="s">
        <v>313</v>
      </c>
      <c r="C5" s="27" t="s">
        <v>345</v>
      </c>
      <c r="D5" s="27" t="s">
        <v>309</v>
      </c>
      <c r="E5" s="27" t="s">
        <v>73</v>
      </c>
      <c r="F5" s="27" t="s">
        <v>273</v>
      </c>
      <c r="G5" s="28" t="s">
        <v>264</v>
      </c>
      <c r="H5" s="12" t="s">
        <v>373</v>
      </c>
      <c r="I5" s="12" t="s">
        <v>313</v>
      </c>
      <c r="J5" s="12" t="s">
        <v>344</v>
      </c>
      <c r="K5" s="12" t="s">
        <v>309</v>
      </c>
      <c r="L5" s="12" t="s">
        <v>73</v>
      </c>
      <c r="M5" s="12" t="s">
        <v>351</v>
      </c>
      <c r="N5" s="16"/>
    </row>
    <row r="6" spans="1:15" x14ac:dyDescent="0.2">
      <c r="A6" s="24" t="s">
        <v>228</v>
      </c>
      <c r="B6" s="24" t="s">
        <v>313</v>
      </c>
      <c r="C6" s="24" t="s">
        <v>345</v>
      </c>
      <c r="D6" s="24" t="s">
        <v>309</v>
      </c>
      <c r="E6" s="24" t="s">
        <v>66</v>
      </c>
      <c r="F6" s="24" t="s">
        <v>67</v>
      </c>
      <c r="G6" s="25" t="s">
        <v>264</v>
      </c>
      <c r="H6" s="14" t="s">
        <v>373</v>
      </c>
      <c r="I6" s="14" t="s">
        <v>313</v>
      </c>
      <c r="J6" s="14" t="s">
        <v>344</v>
      </c>
      <c r="K6" s="14" t="s">
        <v>309</v>
      </c>
      <c r="L6" s="14" t="s">
        <v>66</v>
      </c>
      <c r="M6" s="14" t="s">
        <v>376</v>
      </c>
      <c r="N6" s="15"/>
    </row>
    <row r="7" spans="1:15" x14ac:dyDescent="0.2">
      <c r="A7" s="27" t="s">
        <v>228</v>
      </c>
      <c r="B7" s="27" t="s">
        <v>313</v>
      </c>
      <c r="C7" s="27" t="s">
        <v>345</v>
      </c>
      <c r="D7" s="27" t="s">
        <v>309</v>
      </c>
      <c r="E7" s="27" t="s">
        <v>68</v>
      </c>
      <c r="F7" s="27" t="s">
        <v>69</v>
      </c>
      <c r="G7" s="28" t="s">
        <v>264</v>
      </c>
      <c r="H7" s="12" t="s">
        <v>373</v>
      </c>
      <c r="I7" s="12" t="s">
        <v>313</v>
      </c>
      <c r="J7" s="12" t="s">
        <v>344</v>
      </c>
      <c r="K7" s="12" t="s">
        <v>309</v>
      </c>
      <c r="L7" s="12" t="s">
        <v>68</v>
      </c>
      <c r="M7" s="12" t="s">
        <v>355</v>
      </c>
      <c r="N7" s="16"/>
    </row>
    <row r="8" spans="1:15" x14ac:dyDescent="0.2">
      <c r="A8" s="24" t="s">
        <v>228</v>
      </c>
      <c r="B8" s="24" t="s">
        <v>313</v>
      </c>
      <c r="C8" s="24" t="s">
        <v>345</v>
      </c>
      <c r="D8" s="24" t="s">
        <v>309</v>
      </c>
      <c r="E8" s="24" t="s">
        <v>72</v>
      </c>
      <c r="F8" s="24" t="s">
        <v>272</v>
      </c>
      <c r="G8" s="25" t="s">
        <v>264</v>
      </c>
      <c r="H8" s="14" t="s">
        <v>373</v>
      </c>
      <c r="I8" s="14" t="s">
        <v>313</v>
      </c>
      <c r="J8" s="14" t="s">
        <v>344</v>
      </c>
      <c r="K8" s="14" t="s">
        <v>309</v>
      </c>
      <c r="L8" s="14" t="s">
        <v>72</v>
      </c>
      <c r="M8" s="14" t="s">
        <v>353</v>
      </c>
      <c r="N8" s="15"/>
    </row>
    <row r="9" spans="1:15" ht="22.5" x14ac:dyDescent="0.2">
      <c r="A9" s="27" t="s">
        <v>228</v>
      </c>
      <c r="B9" s="27" t="s">
        <v>313</v>
      </c>
      <c r="C9" s="27" t="s">
        <v>345</v>
      </c>
      <c r="D9" s="27" t="s">
        <v>309</v>
      </c>
      <c r="E9" s="27" t="s">
        <v>74</v>
      </c>
      <c r="F9" s="27" t="s">
        <v>296</v>
      </c>
      <c r="G9" s="28" t="s">
        <v>264</v>
      </c>
      <c r="H9" s="12" t="s">
        <v>373</v>
      </c>
      <c r="I9" s="12" t="s">
        <v>313</v>
      </c>
      <c r="J9" s="12" t="s">
        <v>344</v>
      </c>
      <c r="K9" s="12" t="s">
        <v>309</v>
      </c>
      <c r="L9" s="12" t="s">
        <v>74</v>
      </c>
      <c r="M9" s="12" t="s">
        <v>358</v>
      </c>
      <c r="N9" s="16"/>
    </row>
    <row r="10" spans="1:15" x14ac:dyDescent="0.2">
      <c r="A10" s="24" t="s">
        <v>228</v>
      </c>
      <c r="B10" s="24" t="s">
        <v>313</v>
      </c>
      <c r="C10" s="24" t="s">
        <v>346</v>
      </c>
      <c r="D10" s="24" t="s">
        <v>65</v>
      </c>
      <c r="E10" s="24" t="s">
        <v>63</v>
      </c>
      <c r="F10" s="24" t="s">
        <v>64</v>
      </c>
      <c r="G10" s="25" t="s">
        <v>261</v>
      </c>
      <c r="H10" s="12" t="s">
        <v>373</v>
      </c>
      <c r="I10" s="12" t="s">
        <v>313</v>
      </c>
      <c r="J10" s="17" t="s">
        <v>345</v>
      </c>
      <c r="K10" s="17" t="s">
        <v>65</v>
      </c>
      <c r="L10" s="17" t="s">
        <v>63</v>
      </c>
      <c r="M10" s="17" t="s">
        <v>359</v>
      </c>
      <c r="N10" s="18"/>
    </row>
    <row r="11" spans="1:15" x14ac:dyDescent="0.2">
      <c r="A11" s="27" t="s">
        <v>228</v>
      </c>
      <c r="B11" s="27" t="s">
        <v>313</v>
      </c>
      <c r="C11" s="27" t="s">
        <v>346</v>
      </c>
      <c r="D11" s="27" t="s">
        <v>65</v>
      </c>
      <c r="E11" s="27" t="s">
        <v>53</v>
      </c>
      <c r="F11" s="27" t="s">
        <v>54</v>
      </c>
      <c r="G11" s="28" t="s">
        <v>261</v>
      </c>
      <c r="H11" s="12" t="s">
        <v>373</v>
      </c>
      <c r="I11" s="12" t="s">
        <v>313</v>
      </c>
      <c r="J11" s="17" t="s">
        <v>345</v>
      </c>
      <c r="K11" s="17" t="s">
        <v>65</v>
      </c>
      <c r="L11" s="17" t="s">
        <v>53</v>
      </c>
      <c r="M11" s="17" t="s">
        <v>54</v>
      </c>
      <c r="N11" s="18"/>
    </row>
    <row r="12" spans="1:15" x14ac:dyDescent="0.2">
      <c r="A12" s="24" t="s">
        <v>228</v>
      </c>
      <c r="B12" s="24" t="s">
        <v>313</v>
      </c>
      <c r="C12" s="24" t="s">
        <v>346</v>
      </c>
      <c r="D12" s="24" t="s">
        <v>65</v>
      </c>
      <c r="E12" s="24" t="s">
        <v>47</v>
      </c>
      <c r="F12" s="24" t="s">
        <v>48</v>
      </c>
      <c r="G12" s="25" t="s">
        <v>261</v>
      </c>
      <c r="H12" s="12" t="s">
        <v>373</v>
      </c>
      <c r="I12" s="12" t="s">
        <v>313</v>
      </c>
      <c r="J12" s="17" t="s">
        <v>345</v>
      </c>
      <c r="K12" s="17" t="s">
        <v>65</v>
      </c>
      <c r="L12" s="17" t="s">
        <v>47</v>
      </c>
      <c r="M12" s="17" t="s">
        <v>48</v>
      </c>
      <c r="N12" s="18"/>
    </row>
    <row r="13" spans="1:15" ht="30" x14ac:dyDescent="0.2">
      <c r="A13" s="27" t="s">
        <v>228</v>
      </c>
      <c r="B13" s="27" t="s">
        <v>313</v>
      </c>
      <c r="C13" s="27" t="s">
        <v>346</v>
      </c>
      <c r="D13" s="27" t="s">
        <v>65</v>
      </c>
      <c r="E13" s="27" t="s">
        <v>59</v>
      </c>
      <c r="F13" s="27" t="s">
        <v>270</v>
      </c>
      <c r="G13" s="28" t="s">
        <v>261</v>
      </c>
      <c r="H13" s="12"/>
      <c r="I13" s="12"/>
      <c r="J13" s="17"/>
      <c r="K13" s="17"/>
      <c r="L13" s="17"/>
      <c r="M13" s="17"/>
      <c r="N13" s="19" t="s">
        <v>385</v>
      </c>
    </row>
    <row r="14" spans="1:15" x14ac:dyDescent="0.2">
      <c r="A14" s="24" t="s">
        <v>228</v>
      </c>
      <c r="B14" s="24" t="s">
        <v>313</v>
      </c>
      <c r="C14" s="24" t="s">
        <v>346</v>
      </c>
      <c r="D14" s="24" t="s">
        <v>65</v>
      </c>
      <c r="E14" s="24" t="s">
        <v>55</v>
      </c>
      <c r="F14" s="24" t="s">
        <v>56</v>
      </c>
      <c r="G14" s="25" t="s">
        <v>261</v>
      </c>
      <c r="H14" s="12" t="s">
        <v>373</v>
      </c>
      <c r="I14" s="12" t="s">
        <v>313</v>
      </c>
      <c r="J14" s="17" t="s">
        <v>345</v>
      </c>
      <c r="K14" s="17" t="s">
        <v>65</v>
      </c>
      <c r="L14" s="17" t="s">
        <v>55</v>
      </c>
      <c r="M14" s="17" t="s">
        <v>56</v>
      </c>
      <c r="N14" s="18"/>
    </row>
    <row r="15" spans="1:15" ht="15" x14ac:dyDescent="0.2">
      <c r="A15" s="27" t="s">
        <v>228</v>
      </c>
      <c r="B15" s="27" t="s">
        <v>313</v>
      </c>
      <c r="C15" s="27" t="s">
        <v>346</v>
      </c>
      <c r="D15" s="27" t="s">
        <v>65</v>
      </c>
      <c r="E15" s="27" t="s">
        <v>60</v>
      </c>
      <c r="F15" s="27" t="s">
        <v>61</v>
      </c>
      <c r="G15" s="28" t="s">
        <v>261</v>
      </c>
      <c r="H15" s="12" t="s">
        <v>373</v>
      </c>
      <c r="I15" s="12" t="s">
        <v>313</v>
      </c>
      <c r="J15" s="17" t="s">
        <v>345</v>
      </c>
      <c r="K15" s="17" t="s">
        <v>65</v>
      </c>
      <c r="L15" s="20" t="s">
        <v>378</v>
      </c>
      <c r="M15" s="20" t="s">
        <v>380</v>
      </c>
      <c r="N15" s="18" t="s">
        <v>382</v>
      </c>
    </row>
    <row r="16" spans="1:15" ht="15" x14ac:dyDescent="0.2">
      <c r="A16" s="24" t="s">
        <v>228</v>
      </c>
      <c r="B16" s="24" t="s">
        <v>313</v>
      </c>
      <c r="C16" s="24" t="s">
        <v>346</v>
      </c>
      <c r="D16" s="24" t="s">
        <v>65</v>
      </c>
      <c r="E16" s="24" t="s">
        <v>62</v>
      </c>
      <c r="F16" s="24" t="s">
        <v>271</v>
      </c>
      <c r="G16" s="25" t="s">
        <v>261</v>
      </c>
      <c r="H16" s="12" t="s">
        <v>373</v>
      </c>
      <c r="I16" s="12" t="s">
        <v>313</v>
      </c>
      <c r="J16" s="17" t="s">
        <v>345</v>
      </c>
      <c r="K16" s="17" t="s">
        <v>65</v>
      </c>
      <c r="L16" s="20" t="s">
        <v>379</v>
      </c>
      <c r="M16" s="20" t="s">
        <v>381</v>
      </c>
      <c r="N16" s="18" t="s">
        <v>383</v>
      </c>
    </row>
    <row r="17" spans="1:14" x14ac:dyDescent="0.2">
      <c r="A17" s="27" t="s">
        <v>228</v>
      </c>
      <c r="B17" s="27" t="s">
        <v>313</v>
      </c>
      <c r="C17" s="27" t="s">
        <v>346</v>
      </c>
      <c r="D17" s="27" t="s">
        <v>65</v>
      </c>
      <c r="E17" s="27" t="s">
        <v>49</v>
      </c>
      <c r="F17" s="27" t="s">
        <v>50</v>
      </c>
      <c r="G17" s="28" t="s">
        <v>261</v>
      </c>
      <c r="H17" s="12" t="s">
        <v>373</v>
      </c>
      <c r="I17" s="12" t="s">
        <v>313</v>
      </c>
      <c r="J17" s="17" t="s">
        <v>345</v>
      </c>
      <c r="K17" s="17" t="s">
        <v>65</v>
      </c>
      <c r="L17" s="17" t="s">
        <v>49</v>
      </c>
      <c r="M17" s="17" t="s">
        <v>50</v>
      </c>
      <c r="N17" s="18"/>
    </row>
    <row r="18" spans="1:14" x14ac:dyDescent="0.2">
      <c r="A18" s="24" t="s">
        <v>228</v>
      </c>
      <c r="B18" s="24" t="s">
        <v>313</v>
      </c>
      <c r="C18" s="24" t="s">
        <v>346</v>
      </c>
      <c r="D18" s="24" t="s">
        <v>65</v>
      </c>
      <c r="E18" s="24" t="s">
        <v>51</v>
      </c>
      <c r="F18" s="24" t="s">
        <v>52</v>
      </c>
      <c r="G18" s="25" t="s">
        <v>261</v>
      </c>
      <c r="H18" s="12" t="s">
        <v>373</v>
      </c>
      <c r="I18" s="12" t="s">
        <v>313</v>
      </c>
      <c r="J18" s="17" t="s">
        <v>345</v>
      </c>
      <c r="K18" s="17" t="s">
        <v>65</v>
      </c>
      <c r="L18" s="17" t="s">
        <v>51</v>
      </c>
      <c r="M18" s="17" t="s">
        <v>52</v>
      </c>
      <c r="N18" s="18"/>
    </row>
    <row r="19" spans="1:14" x14ac:dyDescent="0.2">
      <c r="A19" s="27" t="s">
        <v>228</v>
      </c>
      <c r="B19" s="27" t="s">
        <v>313</v>
      </c>
      <c r="C19" s="27" t="s">
        <v>346</v>
      </c>
      <c r="D19" s="27" t="s">
        <v>65</v>
      </c>
      <c r="E19" s="27" t="s">
        <v>45</v>
      </c>
      <c r="F19" s="27" t="s">
        <v>46</v>
      </c>
      <c r="G19" s="28" t="s">
        <v>261</v>
      </c>
      <c r="H19" s="12" t="s">
        <v>373</v>
      </c>
      <c r="I19" s="12" t="s">
        <v>313</v>
      </c>
      <c r="J19" s="17" t="s">
        <v>345</v>
      </c>
      <c r="K19" s="17" t="s">
        <v>65</v>
      </c>
      <c r="L19" s="17" t="s">
        <v>45</v>
      </c>
      <c r="M19" s="17" t="s">
        <v>46</v>
      </c>
      <c r="N19" s="18"/>
    </row>
    <row r="20" spans="1:14" ht="28.5" x14ac:dyDescent="0.2">
      <c r="A20" s="24" t="s">
        <v>228</v>
      </c>
      <c r="B20" s="24" t="s">
        <v>313</v>
      </c>
      <c r="C20" s="24" t="s">
        <v>347</v>
      </c>
      <c r="D20" s="24" t="s">
        <v>269</v>
      </c>
      <c r="E20" s="24" t="s">
        <v>300</v>
      </c>
      <c r="F20" s="24" t="s">
        <v>266</v>
      </c>
      <c r="G20" s="25" t="s">
        <v>261</v>
      </c>
      <c r="H20" s="12" t="s">
        <v>373</v>
      </c>
      <c r="I20" s="12" t="s">
        <v>313</v>
      </c>
      <c r="J20" s="17" t="s">
        <v>346</v>
      </c>
      <c r="K20" s="20" t="s">
        <v>384</v>
      </c>
      <c r="L20" s="20" t="s">
        <v>220</v>
      </c>
      <c r="M20" s="20" t="s">
        <v>416</v>
      </c>
      <c r="N20" s="18" t="s">
        <v>386</v>
      </c>
    </row>
    <row r="21" spans="1:14" ht="15" x14ac:dyDescent="0.2">
      <c r="A21" s="27" t="s">
        <v>228</v>
      </c>
      <c r="B21" s="27" t="s">
        <v>313</v>
      </c>
      <c r="C21" s="27" t="s">
        <v>347</v>
      </c>
      <c r="D21" s="27" t="s">
        <v>269</v>
      </c>
      <c r="E21" s="27" t="s">
        <v>299</v>
      </c>
      <c r="F21" s="27" t="s">
        <v>265</v>
      </c>
      <c r="G21" s="28" t="s">
        <v>261</v>
      </c>
      <c r="H21" s="12" t="s">
        <v>373</v>
      </c>
      <c r="I21" s="12" t="s">
        <v>313</v>
      </c>
      <c r="J21" s="17" t="s">
        <v>346</v>
      </c>
      <c r="K21" s="20" t="s">
        <v>384</v>
      </c>
      <c r="L21" s="20" t="s">
        <v>198</v>
      </c>
      <c r="M21" s="20" t="s">
        <v>417</v>
      </c>
      <c r="N21" s="18"/>
    </row>
    <row r="22" spans="1:14" ht="42.75" x14ac:dyDescent="0.2">
      <c r="A22" s="27"/>
      <c r="B22" s="27"/>
      <c r="C22" s="27"/>
      <c r="D22" s="27"/>
      <c r="E22" s="27"/>
      <c r="F22" s="27"/>
      <c r="G22" s="28"/>
      <c r="H22" s="12" t="s">
        <v>373</v>
      </c>
      <c r="I22" s="12" t="s">
        <v>313</v>
      </c>
      <c r="J22" s="17" t="s">
        <v>346</v>
      </c>
      <c r="K22" s="20" t="s">
        <v>384</v>
      </c>
      <c r="L22" s="20" t="s">
        <v>418</v>
      </c>
      <c r="M22" s="20" t="s">
        <v>419</v>
      </c>
      <c r="N22" s="18" t="s">
        <v>420</v>
      </c>
    </row>
    <row r="23" spans="1:14" ht="15" x14ac:dyDescent="0.2">
      <c r="A23" s="27"/>
      <c r="B23" s="27"/>
      <c r="C23" s="27"/>
      <c r="D23" s="27"/>
      <c r="E23" s="27"/>
      <c r="F23" s="27"/>
      <c r="G23" s="28"/>
      <c r="H23" s="12" t="s">
        <v>373</v>
      </c>
      <c r="I23" s="12" t="s">
        <v>313</v>
      </c>
      <c r="J23" s="20" t="s">
        <v>347</v>
      </c>
      <c r="K23" s="20" t="s">
        <v>411</v>
      </c>
      <c r="L23" s="20" t="s">
        <v>412</v>
      </c>
      <c r="M23" s="20" t="s">
        <v>414</v>
      </c>
      <c r="N23" s="18"/>
    </row>
    <row r="24" spans="1:14" ht="15" x14ac:dyDescent="0.2">
      <c r="A24" s="27"/>
      <c r="B24" s="27"/>
      <c r="C24" s="27"/>
      <c r="D24" s="27"/>
      <c r="E24" s="27"/>
      <c r="F24" s="27"/>
      <c r="G24" s="28"/>
      <c r="H24" s="12" t="s">
        <v>373</v>
      </c>
      <c r="I24" s="12" t="s">
        <v>313</v>
      </c>
      <c r="J24" s="20" t="s">
        <v>347</v>
      </c>
      <c r="K24" s="20" t="s">
        <v>411</v>
      </c>
      <c r="L24" s="20" t="s">
        <v>413</v>
      </c>
      <c r="M24" s="20" t="s">
        <v>415</v>
      </c>
      <c r="N24" s="18"/>
    </row>
    <row r="25" spans="1:14" x14ac:dyDescent="0.2">
      <c r="A25" s="24" t="s">
        <v>228</v>
      </c>
      <c r="B25" s="24" t="s">
        <v>313</v>
      </c>
      <c r="C25" s="24" t="s">
        <v>348</v>
      </c>
      <c r="D25" s="24" t="s">
        <v>89</v>
      </c>
      <c r="E25" s="24" t="s">
        <v>77</v>
      </c>
      <c r="F25" s="24" t="s">
        <v>274</v>
      </c>
      <c r="G25" s="25" t="s">
        <v>260</v>
      </c>
      <c r="H25" s="12" t="s">
        <v>373</v>
      </c>
      <c r="I25" s="12" t="s">
        <v>313</v>
      </c>
      <c r="J25" s="17" t="s">
        <v>348</v>
      </c>
      <c r="K25" s="17" t="s">
        <v>89</v>
      </c>
      <c r="L25" s="17" t="s">
        <v>77</v>
      </c>
      <c r="M25" s="17" t="s">
        <v>274</v>
      </c>
      <c r="N25" s="18"/>
    </row>
    <row r="26" spans="1:14" ht="15" x14ac:dyDescent="0.2">
      <c r="A26" s="27" t="s">
        <v>228</v>
      </c>
      <c r="B26" s="27" t="s">
        <v>313</v>
      </c>
      <c r="C26" s="27" t="s">
        <v>348</v>
      </c>
      <c r="D26" s="27" t="s">
        <v>89</v>
      </c>
      <c r="E26" s="27" t="s">
        <v>78</v>
      </c>
      <c r="F26" s="27" t="s">
        <v>275</v>
      </c>
      <c r="G26" s="28" t="s">
        <v>260</v>
      </c>
      <c r="H26" s="12"/>
      <c r="I26" s="12"/>
      <c r="J26" s="17"/>
      <c r="K26" s="17"/>
      <c r="L26" s="17"/>
      <c r="M26" s="17"/>
      <c r="N26" s="19" t="s">
        <v>398</v>
      </c>
    </row>
    <row r="27" spans="1:14" x14ac:dyDescent="0.2">
      <c r="A27" s="24" t="s">
        <v>228</v>
      </c>
      <c r="B27" s="24" t="s">
        <v>313</v>
      </c>
      <c r="C27" s="24" t="s">
        <v>348</v>
      </c>
      <c r="D27" s="24" t="s">
        <v>89</v>
      </c>
      <c r="E27" s="24" t="s">
        <v>75</v>
      </c>
      <c r="F27" s="24" t="s">
        <v>76</v>
      </c>
      <c r="G27" s="25" t="s">
        <v>260</v>
      </c>
      <c r="H27" s="12" t="s">
        <v>373</v>
      </c>
      <c r="I27" s="12" t="s">
        <v>313</v>
      </c>
      <c r="J27" s="17" t="s">
        <v>348</v>
      </c>
      <c r="K27" s="17" t="s">
        <v>89</v>
      </c>
      <c r="L27" s="17" t="s">
        <v>75</v>
      </c>
      <c r="M27" s="17" t="s">
        <v>76</v>
      </c>
      <c r="N27" s="18"/>
    </row>
    <row r="28" spans="1:14" ht="15" x14ac:dyDescent="0.2">
      <c r="A28" s="24"/>
      <c r="B28" s="24"/>
      <c r="C28" s="24"/>
      <c r="D28" s="24"/>
      <c r="E28" s="24"/>
      <c r="F28" s="24"/>
      <c r="G28" s="25"/>
      <c r="H28" s="12" t="s">
        <v>373</v>
      </c>
      <c r="I28" s="12" t="s">
        <v>313</v>
      </c>
      <c r="J28" s="17" t="s">
        <v>348</v>
      </c>
      <c r="K28" s="17" t="s">
        <v>89</v>
      </c>
      <c r="L28" s="20" t="s">
        <v>399</v>
      </c>
      <c r="M28" s="20" t="s">
        <v>400</v>
      </c>
      <c r="N28" s="19"/>
    </row>
    <row r="29" spans="1:14" ht="22.5" x14ac:dyDescent="0.2">
      <c r="A29" s="27" t="s">
        <v>228</v>
      </c>
      <c r="B29" s="27" t="s">
        <v>313</v>
      </c>
      <c r="C29" s="27" t="s">
        <v>348</v>
      </c>
      <c r="D29" s="27" t="s">
        <v>89</v>
      </c>
      <c r="E29" s="27" t="s">
        <v>79</v>
      </c>
      <c r="F29" s="27" t="s">
        <v>276</v>
      </c>
      <c r="G29" s="28" t="s">
        <v>260</v>
      </c>
      <c r="H29" s="12" t="s">
        <v>373</v>
      </c>
      <c r="I29" s="12" t="s">
        <v>313</v>
      </c>
      <c r="J29" s="17" t="s">
        <v>348</v>
      </c>
      <c r="K29" s="17" t="s">
        <v>89</v>
      </c>
      <c r="L29" s="17" t="s">
        <v>79</v>
      </c>
      <c r="M29" s="17" t="s">
        <v>401</v>
      </c>
      <c r="N29" s="18" t="s">
        <v>402</v>
      </c>
    </row>
    <row r="30" spans="1:14" x14ac:dyDescent="0.2">
      <c r="A30" s="24" t="s">
        <v>228</v>
      </c>
      <c r="B30" s="24" t="s">
        <v>313</v>
      </c>
      <c r="C30" s="24" t="s">
        <v>348</v>
      </c>
      <c r="D30" s="24" t="s">
        <v>89</v>
      </c>
      <c r="E30" s="24" t="s">
        <v>81</v>
      </c>
      <c r="F30" s="24" t="s">
        <v>278</v>
      </c>
      <c r="G30" s="25" t="s">
        <v>260</v>
      </c>
      <c r="H30" s="12" t="s">
        <v>373</v>
      </c>
      <c r="I30" s="12" t="s">
        <v>313</v>
      </c>
      <c r="J30" s="17" t="s">
        <v>348</v>
      </c>
      <c r="K30" s="17" t="s">
        <v>89</v>
      </c>
      <c r="L30" s="17" t="s">
        <v>81</v>
      </c>
      <c r="M30" s="17" t="s">
        <v>278</v>
      </c>
      <c r="N30" s="18"/>
    </row>
    <row r="31" spans="1:14" x14ac:dyDescent="0.2">
      <c r="A31" s="27" t="s">
        <v>228</v>
      </c>
      <c r="B31" s="27" t="s">
        <v>313</v>
      </c>
      <c r="C31" s="27" t="s">
        <v>348</v>
      </c>
      <c r="D31" s="27" t="s">
        <v>89</v>
      </c>
      <c r="E31" s="27" t="s">
        <v>80</v>
      </c>
      <c r="F31" s="27" t="s">
        <v>277</v>
      </c>
      <c r="G31" s="28" t="s">
        <v>260</v>
      </c>
      <c r="H31" s="12" t="s">
        <v>373</v>
      </c>
      <c r="I31" s="12" t="s">
        <v>313</v>
      </c>
      <c r="J31" s="17" t="s">
        <v>348</v>
      </c>
      <c r="K31" s="17" t="s">
        <v>89</v>
      </c>
      <c r="L31" s="17" t="s">
        <v>80</v>
      </c>
      <c r="M31" s="17" t="s">
        <v>277</v>
      </c>
      <c r="N31" s="18"/>
    </row>
    <row r="32" spans="1:14" ht="15" x14ac:dyDescent="0.2">
      <c r="A32" s="27"/>
      <c r="B32" s="27"/>
      <c r="C32" s="27"/>
      <c r="D32" s="27"/>
      <c r="E32" s="27"/>
      <c r="F32" s="27"/>
      <c r="G32" s="28"/>
      <c r="H32" s="12" t="s">
        <v>373</v>
      </c>
      <c r="I32" s="12" t="s">
        <v>313</v>
      </c>
      <c r="J32" s="17" t="s">
        <v>348</v>
      </c>
      <c r="K32" s="17" t="s">
        <v>89</v>
      </c>
      <c r="L32" s="20" t="s">
        <v>403</v>
      </c>
      <c r="M32" s="20" t="s">
        <v>404</v>
      </c>
      <c r="N32" s="18"/>
    </row>
    <row r="33" spans="1:14" ht="15" x14ac:dyDescent="0.2">
      <c r="A33" s="27"/>
      <c r="B33" s="27"/>
      <c r="C33" s="27"/>
      <c r="D33" s="27"/>
      <c r="E33" s="27"/>
      <c r="F33" s="27"/>
      <c r="G33" s="28"/>
      <c r="H33" s="12" t="s">
        <v>373</v>
      </c>
      <c r="I33" s="12" t="s">
        <v>313</v>
      </c>
      <c r="J33" s="17" t="s">
        <v>348</v>
      </c>
      <c r="K33" s="17" t="s">
        <v>89</v>
      </c>
      <c r="L33" s="20" t="s">
        <v>407</v>
      </c>
      <c r="M33" s="20" t="s">
        <v>406</v>
      </c>
      <c r="N33" s="18"/>
    </row>
    <row r="34" spans="1:14" ht="15" x14ac:dyDescent="0.2">
      <c r="A34" s="27"/>
      <c r="B34" s="27"/>
      <c r="C34" s="27"/>
      <c r="D34" s="27"/>
      <c r="E34" s="27"/>
      <c r="F34" s="27"/>
      <c r="G34" s="28"/>
      <c r="H34" s="12" t="s">
        <v>373</v>
      </c>
      <c r="I34" s="12" t="s">
        <v>313</v>
      </c>
      <c r="J34" s="17" t="s">
        <v>348</v>
      </c>
      <c r="K34" s="17" t="s">
        <v>89</v>
      </c>
      <c r="L34" s="20" t="s">
        <v>405</v>
      </c>
      <c r="M34" s="20" t="s">
        <v>408</v>
      </c>
      <c r="N34" s="18"/>
    </row>
    <row r="35" spans="1:14" ht="42.75" x14ac:dyDescent="0.2">
      <c r="A35" s="27"/>
      <c r="B35" s="27"/>
      <c r="C35" s="27"/>
      <c r="D35" s="27"/>
      <c r="E35" s="27"/>
      <c r="F35" s="27"/>
      <c r="G35" s="28"/>
      <c r="H35" s="12" t="s">
        <v>373</v>
      </c>
      <c r="I35" s="12" t="s">
        <v>313</v>
      </c>
      <c r="J35" s="17" t="s">
        <v>348</v>
      </c>
      <c r="K35" s="17" t="s">
        <v>89</v>
      </c>
      <c r="L35" s="20" t="s">
        <v>409</v>
      </c>
      <c r="M35" s="20" t="s">
        <v>410</v>
      </c>
      <c r="N35" s="18" t="s">
        <v>458</v>
      </c>
    </row>
    <row r="36" spans="1:14" ht="15" x14ac:dyDescent="0.2">
      <c r="A36" s="27"/>
      <c r="B36" s="27"/>
      <c r="C36" s="27"/>
      <c r="D36" s="27"/>
      <c r="E36" s="27"/>
      <c r="F36" s="27"/>
      <c r="G36" s="28"/>
      <c r="H36" s="12" t="s">
        <v>373</v>
      </c>
      <c r="I36" s="12" t="s">
        <v>313</v>
      </c>
      <c r="J36" s="20" t="s">
        <v>349</v>
      </c>
      <c r="K36" s="20" t="s">
        <v>421</v>
      </c>
      <c r="L36" s="20" t="s">
        <v>422</v>
      </c>
      <c r="M36" s="20" t="s">
        <v>424</v>
      </c>
      <c r="N36" s="18" t="s">
        <v>426</v>
      </c>
    </row>
    <row r="37" spans="1:14" ht="15" x14ac:dyDescent="0.2">
      <c r="A37" s="27"/>
      <c r="B37" s="27"/>
      <c r="C37" s="27"/>
      <c r="D37" s="27"/>
      <c r="E37" s="27"/>
      <c r="F37" s="27"/>
      <c r="G37" s="28"/>
      <c r="H37" s="12" t="s">
        <v>373</v>
      </c>
      <c r="I37" s="12" t="s">
        <v>313</v>
      </c>
      <c r="J37" s="20" t="s">
        <v>349</v>
      </c>
      <c r="K37" s="20" t="s">
        <v>421</v>
      </c>
      <c r="L37" s="20" t="s">
        <v>423</v>
      </c>
      <c r="M37" s="20" t="s">
        <v>425</v>
      </c>
      <c r="N37" s="18"/>
    </row>
    <row r="38" spans="1:14" ht="28.5" x14ac:dyDescent="0.2">
      <c r="A38" s="27"/>
      <c r="B38" s="27"/>
      <c r="C38" s="27"/>
      <c r="D38" s="27"/>
      <c r="E38" s="27"/>
      <c r="F38" s="27"/>
      <c r="G38" s="28"/>
      <c r="H38" s="12" t="s">
        <v>373</v>
      </c>
      <c r="I38" s="12" t="s">
        <v>313</v>
      </c>
      <c r="J38" s="20" t="s">
        <v>349</v>
      </c>
      <c r="K38" s="20" t="s">
        <v>421</v>
      </c>
      <c r="L38" s="20" t="s">
        <v>429</v>
      </c>
      <c r="M38" s="20" t="s">
        <v>459</v>
      </c>
      <c r="N38" s="18" t="s">
        <v>460</v>
      </c>
    </row>
    <row r="39" spans="1:14" ht="28.5" x14ac:dyDescent="0.2">
      <c r="A39" s="27"/>
      <c r="B39" s="27"/>
      <c r="C39" s="27"/>
      <c r="D39" s="27"/>
      <c r="E39" s="27"/>
      <c r="F39" s="27"/>
      <c r="G39" s="28"/>
      <c r="H39" s="12" t="s">
        <v>373</v>
      </c>
      <c r="I39" s="12" t="s">
        <v>313</v>
      </c>
      <c r="J39" s="20" t="s">
        <v>427</v>
      </c>
      <c r="K39" s="20" t="s">
        <v>428</v>
      </c>
      <c r="L39" s="20" t="s">
        <v>429</v>
      </c>
      <c r="M39" s="20" t="s">
        <v>461</v>
      </c>
      <c r="N39" s="18" t="s">
        <v>457</v>
      </c>
    </row>
    <row r="40" spans="1:14" ht="15" x14ac:dyDescent="0.2">
      <c r="A40" s="27"/>
      <c r="B40" s="27"/>
      <c r="C40" s="27"/>
      <c r="D40" s="27"/>
      <c r="E40" s="27"/>
      <c r="F40" s="27"/>
      <c r="G40" s="28"/>
      <c r="H40" s="12" t="s">
        <v>373</v>
      </c>
      <c r="I40" s="12" t="s">
        <v>313</v>
      </c>
      <c r="J40" s="20" t="s">
        <v>427</v>
      </c>
      <c r="K40" s="20" t="s">
        <v>428</v>
      </c>
      <c r="L40" s="20" t="s">
        <v>436</v>
      </c>
      <c r="M40" s="20" t="s">
        <v>430</v>
      </c>
      <c r="N40" s="18"/>
    </row>
    <row r="41" spans="1:14" ht="15" x14ac:dyDescent="0.2">
      <c r="A41" s="27"/>
      <c r="B41" s="27"/>
      <c r="C41" s="27"/>
      <c r="D41" s="27"/>
      <c r="E41" s="27"/>
      <c r="F41" s="27"/>
      <c r="G41" s="28"/>
      <c r="H41" s="12" t="s">
        <v>373</v>
      </c>
      <c r="I41" s="12" t="s">
        <v>313</v>
      </c>
      <c r="J41" s="20" t="s">
        <v>427</v>
      </c>
      <c r="K41" s="20" t="s">
        <v>428</v>
      </c>
      <c r="L41" s="20" t="s">
        <v>437</v>
      </c>
      <c r="M41" s="20" t="s">
        <v>431</v>
      </c>
      <c r="N41" s="18"/>
    </row>
    <row r="42" spans="1:14" ht="15" x14ac:dyDescent="0.2">
      <c r="A42" s="27"/>
      <c r="B42" s="27"/>
      <c r="C42" s="27"/>
      <c r="D42" s="27"/>
      <c r="E42" s="27"/>
      <c r="F42" s="27"/>
      <c r="G42" s="28"/>
      <c r="H42" s="12" t="s">
        <v>373</v>
      </c>
      <c r="I42" s="12" t="s">
        <v>313</v>
      </c>
      <c r="J42" s="20" t="s">
        <v>427</v>
      </c>
      <c r="K42" s="20" t="s">
        <v>428</v>
      </c>
      <c r="L42" s="20" t="s">
        <v>440</v>
      </c>
      <c r="M42" s="20" t="s">
        <v>432</v>
      </c>
      <c r="N42" s="18"/>
    </row>
    <row r="43" spans="1:14" ht="15" x14ac:dyDescent="0.2">
      <c r="A43" s="27"/>
      <c r="B43" s="27"/>
      <c r="C43" s="27"/>
      <c r="D43" s="27"/>
      <c r="E43" s="27"/>
      <c r="F43" s="27"/>
      <c r="G43" s="28"/>
      <c r="H43" s="12" t="s">
        <v>373</v>
      </c>
      <c r="I43" s="12" t="s">
        <v>313</v>
      </c>
      <c r="J43" s="20" t="s">
        <v>427</v>
      </c>
      <c r="K43" s="20" t="s">
        <v>428</v>
      </c>
      <c r="L43" s="20" t="s">
        <v>33</v>
      </c>
      <c r="M43" s="20" t="s">
        <v>433</v>
      </c>
      <c r="N43" s="18"/>
    </row>
    <row r="44" spans="1:14" ht="15" x14ac:dyDescent="0.2">
      <c r="A44" s="27"/>
      <c r="B44" s="27"/>
      <c r="C44" s="27"/>
      <c r="D44" s="27"/>
      <c r="E44" s="27"/>
      <c r="F44" s="27"/>
      <c r="G44" s="28"/>
      <c r="H44" s="12" t="s">
        <v>373</v>
      </c>
      <c r="I44" s="12" t="s">
        <v>313</v>
      </c>
      <c r="J44" s="20" t="s">
        <v>427</v>
      </c>
      <c r="K44" s="20" t="s">
        <v>428</v>
      </c>
      <c r="L44" s="20" t="s">
        <v>439</v>
      </c>
      <c r="M44" s="20" t="s">
        <v>434</v>
      </c>
      <c r="N44" s="18"/>
    </row>
    <row r="45" spans="1:14" ht="15" x14ac:dyDescent="0.2">
      <c r="A45" s="27"/>
      <c r="B45" s="27"/>
      <c r="C45" s="27"/>
      <c r="D45" s="27"/>
      <c r="E45" s="27"/>
      <c r="F45" s="27"/>
      <c r="G45" s="28"/>
      <c r="H45" s="12" t="s">
        <v>373</v>
      </c>
      <c r="I45" s="12" t="s">
        <v>313</v>
      </c>
      <c r="J45" s="20" t="s">
        <v>427</v>
      </c>
      <c r="K45" s="20" t="s">
        <v>428</v>
      </c>
      <c r="L45" s="20" t="s">
        <v>438</v>
      </c>
      <c r="M45" s="20" t="s">
        <v>435</v>
      </c>
      <c r="N45" s="18"/>
    </row>
    <row r="46" spans="1:14" ht="15" x14ac:dyDescent="0.2">
      <c r="A46" s="27"/>
      <c r="B46" s="27"/>
      <c r="C46" s="27"/>
      <c r="D46" s="27"/>
      <c r="E46" s="27"/>
      <c r="F46" s="27"/>
      <c r="G46" s="28"/>
      <c r="H46" s="12" t="s">
        <v>373</v>
      </c>
      <c r="I46" s="12" t="s">
        <v>313</v>
      </c>
      <c r="J46" s="20" t="s">
        <v>441</v>
      </c>
      <c r="K46" s="20" t="s">
        <v>442</v>
      </c>
      <c r="L46" s="20" t="s">
        <v>429</v>
      </c>
      <c r="M46" s="20" t="s">
        <v>443</v>
      </c>
      <c r="N46" s="18"/>
    </row>
    <row r="47" spans="1:14" ht="15" x14ac:dyDescent="0.2">
      <c r="A47" s="27"/>
      <c r="B47" s="27"/>
      <c r="C47" s="27"/>
      <c r="D47" s="27"/>
      <c r="E47" s="27"/>
      <c r="F47" s="27"/>
      <c r="G47" s="28"/>
      <c r="H47" s="12" t="s">
        <v>373</v>
      </c>
      <c r="I47" s="12" t="s">
        <v>313</v>
      </c>
      <c r="J47" s="20" t="s">
        <v>441</v>
      </c>
      <c r="K47" s="20" t="s">
        <v>442</v>
      </c>
      <c r="L47" s="20" t="s">
        <v>444</v>
      </c>
      <c r="M47" s="20" t="s">
        <v>445</v>
      </c>
      <c r="N47" s="18"/>
    </row>
    <row r="48" spans="1:14" ht="15" x14ac:dyDescent="0.2">
      <c r="A48" s="27"/>
      <c r="B48" s="27"/>
      <c r="C48" s="27"/>
      <c r="D48" s="27"/>
      <c r="E48" s="27"/>
      <c r="F48" s="27"/>
      <c r="G48" s="28"/>
      <c r="H48" s="12" t="s">
        <v>373</v>
      </c>
      <c r="I48" s="12" t="s">
        <v>313</v>
      </c>
      <c r="J48" s="20" t="s">
        <v>441</v>
      </c>
      <c r="K48" s="20" t="s">
        <v>442</v>
      </c>
      <c r="L48" s="20" t="s">
        <v>451</v>
      </c>
      <c r="M48" s="20" t="s">
        <v>446</v>
      </c>
      <c r="N48" s="18"/>
    </row>
    <row r="49" spans="1:14" ht="15" x14ac:dyDescent="0.2">
      <c r="A49" s="27"/>
      <c r="B49" s="27"/>
      <c r="C49" s="27"/>
      <c r="D49" s="27"/>
      <c r="E49" s="27"/>
      <c r="F49" s="27"/>
      <c r="G49" s="28"/>
      <c r="H49" s="12" t="s">
        <v>373</v>
      </c>
      <c r="I49" s="12" t="s">
        <v>313</v>
      </c>
      <c r="J49" s="20" t="s">
        <v>441</v>
      </c>
      <c r="K49" s="20" t="s">
        <v>442</v>
      </c>
      <c r="L49" s="20" t="s">
        <v>449</v>
      </c>
      <c r="M49" s="20" t="s">
        <v>447</v>
      </c>
      <c r="N49" s="18"/>
    </row>
    <row r="50" spans="1:14" ht="15" x14ac:dyDescent="0.2">
      <c r="A50" s="27"/>
      <c r="B50" s="27"/>
      <c r="C50" s="27"/>
      <c r="D50" s="27"/>
      <c r="E50" s="27"/>
      <c r="F50" s="27"/>
      <c r="G50" s="28"/>
      <c r="H50" s="12" t="s">
        <v>373</v>
      </c>
      <c r="I50" s="12" t="s">
        <v>313</v>
      </c>
      <c r="J50" s="20" t="s">
        <v>441</v>
      </c>
      <c r="K50" s="20" t="s">
        <v>442</v>
      </c>
      <c r="L50" s="20" t="s">
        <v>450</v>
      </c>
      <c r="M50" s="20" t="s">
        <v>448</v>
      </c>
      <c r="N50" s="18"/>
    </row>
    <row r="51" spans="1:14" ht="15" x14ac:dyDescent="0.2">
      <c r="A51" s="27"/>
      <c r="B51" s="27"/>
      <c r="C51" s="27"/>
      <c r="D51" s="27"/>
      <c r="E51" s="27"/>
      <c r="F51" s="27"/>
      <c r="G51" s="28"/>
      <c r="H51" s="12" t="s">
        <v>373</v>
      </c>
      <c r="I51" s="12" t="s">
        <v>313</v>
      </c>
      <c r="J51" s="20" t="s">
        <v>441</v>
      </c>
      <c r="K51" s="20" t="s">
        <v>442</v>
      </c>
      <c r="L51" s="20" t="s">
        <v>74</v>
      </c>
      <c r="M51" s="20" t="s">
        <v>358</v>
      </c>
      <c r="N51" s="18" t="s">
        <v>456</v>
      </c>
    </row>
    <row r="52" spans="1:14" ht="15" x14ac:dyDescent="0.2">
      <c r="A52" s="27"/>
      <c r="B52" s="27"/>
      <c r="C52" s="27"/>
      <c r="D52" s="27"/>
      <c r="E52" s="27"/>
      <c r="F52" s="27"/>
      <c r="G52" s="28"/>
      <c r="H52" s="12" t="s">
        <v>373</v>
      </c>
      <c r="I52" s="12" t="s">
        <v>313</v>
      </c>
      <c r="J52" s="20" t="s">
        <v>452</v>
      </c>
      <c r="K52" s="30" t="s">
        <v>453</v>
      </c>
      <c r="L52" s="30" t="s">
        <v>360</v>
      </c>
      <c r="M52" s="30" t="s">
        <v>363</v>
      </c>
      <c r="N52" s="18"/>
    </row>
    <row r="53" spans="1:14" ht="15" x14ac:dyDescent="0.2">
      <c r="A53" s="27"/>
      <c r="B53" s="27"/>
      <c r="C53" s="27"/>
      <c r="D53" s="27"/>
      <c r="E53" s="27"/>
      <c r="F53" s="27"/>
      <c r="G53" s="28"/>
      <c r="H53" s="12" t="s">
        <v>373</v>
      </c>
      <c r="I53" s="12" t="s">
        <v>313</v>
      </c>
      <c r="J53" s="20" t="s">
        <v>454</v>
      </c>
      <c r="K53" s="30" t="s">
        <v>361</v>
      </c>
      <c r="L53" s="30" t="s">
        <v>362</v>
      </c>
      <c r="M53" s="30" t="s">
        <v>366</v>
      </c>
      <c r="N53" s="18" t="s">
        <v>455</v>
      </c>
    </row>
    <row r="54" spans="1:14" ht="15" x14ac:dyDescent="0.2">
      <c r="A54" s="27"/>
      <c r="B54" s="27"/>
      <c r="C54" s="27"/>
      <c r="D54" s="27"/>
      <c r="E54" s="27"/>
      <c r="F54" s="27"/>
      <c r="G54" s="28"/>
      <c r="H54" s="12" t="s">
        <v>373</v>
      </c>
      <c r="I54" s="12" t="s">
        <v>313</v>
      </c>
      <c r="J54" s="20" t="s">
        <v>387</v>
      </c>
      <c r="K54" s="20" t="s">
        <v>388</v>
      </c>
      <c r="L54" s="30" t="s">
        <v>389</v>
      </c>
      <c r="M54" s="30" t="s">
        <v>393</v>
      </c>
      <c r="N54" s="18"/>
    </row>
    <row r="55" spans="1:14" ht="15" x14ac:dyDescent="0.2">
      <c r="A55" s="27"/>
      <c r="B55" s="27"/>
      <c r="C55" s="27"/>
      <c r="D55" s="27"/>
      <c r="E55" s="27"/>
      <c r="F55" s="27"/>
      <c r="G55" s="28"/>
      <c r="H55" s="12" t="s">
        <v>373</v>
      </c>
      <c r="I55" s="12" t="s">
        <v>313</v>
      </c>
      <c r="J55" s="20" t="s">
        <v>387</v>
      </c>
      <c r="K55" s="20" t="s">
        <v>388</v>
      </c>
      <c r="L55" s="30" t="s">
        <v>390</v>
      </c>
      <c r="M55" s="30" t="s">
        <v>394</v>
      </c>
      <c r="N55" s="18"/>
    </row>
    <row r="56" spans="1:14" ht="15" x14ac:dyDescent="0.2">
      <c r="A56" s="27"/>
      <c r="B56" s="27"/>
      <c r="C56" s="27"/>
      <c r="D56" s="27"/>
      <c r="E56" s="27"/>
      <c r="F56" s="27"/>
      <c r="G56" s="28"/>
      <c r="H56" s="12" t="s">
        <v>373</v>
      </c>
      <c r="I56" s="12" t="s">
        <v>313</v>
      </c>
      <c r="J56" s="20" t="s">
        <v>387</v>
      </c>
      <c r="K56" s="20" t="s">
        <v>388</v>
      </c>
      <c r="L56" s="20" t="s">
        <v>392</v>
      </c>
      <c r="M56" s="20" t="s">
        <v>395</v>
      </c>
      <c r="N56" s="18"/>
    </row>
    <row r="57" spans="1:14" ht="15" x14ac:dyDescent="0.2">
      <c r="A57" s="27"/>
      <c r="B57" s="27"/>
      <c r="C57" s="27"/>
      <c r="D57" s="27"/>
      <c r="E57" s="27"/>
      <c r="F57" s="27"/>
      <c r="G57" s="28"/>
      <c r="H57" s="12" t="s">
        <v>373</v>
      </c>
      <c r="I57" s="12" t="s">
        <v>313</v>
      </c>
      <c r="J57" s="20" t="s">
        <v>387</v>
      </c>
      <c r="K57" s="20" t="s">
        <v>388</v>
      </c>
      <c r="L57" s="20" t="s">
        <v>391</v>
      </c>
      <c r="M57" s="20" t="s">
        <v>396</v>
      </c>
      <c r="N57" s="18"/>
    </row>
    <row r="58" spans="1:14" x14ac:dyDescent="0.2">
      <c r="A58" s="24" t="s">
        <v>242</v>
      </c>
      <c r="B58" s="24" t="s">
        <v>314</v>
      </c>
      <c r="C58" s="24" t="s">
        <v>344</v>
      </c>
      <c r="D58" s="24" t="s">
        <v>32</v>
      </c>
      <c r="E58" s="24" t="s">
        <v>3</v>
      </c>
      <c r="F58" s="24" t="s">
        <v>4</v>
      </c>
      <c r="G58" s="25" t="s">
        <v>248</v>
      </c>
      <c r="H58" s="17"/>
      <c r="I58" s="17"/>
      <c r="J58" s="17"/>
      <c r="K58" s="17"/>
      <c r="L58" s="17"/>
      <c r="M58" s="17"/>
      <c r="N58" s="18"/>
    </row>
    <row r="59" spans="1:14" x14ac:dyDescent="0.2">
      <c r="A59" s="27" t="s">
        <v>242</v>
      </c>
      <c r="B59" s="27" t="s">
        <v>314</v>
      </c>
      <c r="C59" s="27" t="s">
        <v>344</v>
      </c>
      <c r="D59" s="27" t="s">
        <v>32</v>
      </c>
      <c r="E59" s="27" t="s">
        <v>1</v>
      </c>
      <c r="F59" s="27" t="s">
        <v>2</v>
      </c>
      <c r="G59" s="28" t="s">
        <v>261</v>
      </c>
      <c r="H59" s="17"/>
      <c r="I59" s="17"/>
      <c r="J59" s="17"/>
      <c r="K59" s="17"/>
      <c r="L59" s="17"/>
      <c r="M59" s="17"/>
      <c r="N59" s="18"/>
    </row>
    <row r="60" spans="1:14" x14ac:dyDescent="0.2">
      <c r="A60" s="24" t="s">
        <v>242</v>
      </c>
      <c r="B60" s="24" t="s">
        <v>314</v>
      </c>
      <c r="C60" s="24" t="s">
        <v>345</v>
      </c>
      <c r="D60" s="24" t="s">
        <v>309</v>
      </c>
      <c r="E60" s="24" t="s">
        <v>70</v>
      </c>
      <c r="F60" s="24" t="s">
        <v>71</v>
      </c>
      <c r="G60" s="25" t="s">
        <v>264</v>
      </c>
      <c r="H60" s="17"/>
      <c r="I60" s="17"/>
      <c r="J60" s="17"/>
      <c r="K60" s="17"/>
      <c r="L60" s="17"/>
      <c r="M60" s="17"/>
      <c r="N60" s="18"/>
    </row>
    <row r="61" spans="1:14" x14ac:dyDescent="0.2">
      <c r="A61" s="27" t="s">
        <v>242</v>
      </c>
      <c r="B61" s="27" t="s">
        <v>314</v>
      </c>
      <c r="C61" s="27" t="s">
        <v>345</v>
      </c>
      <c r="D61" s="27" t="s">
        <v>309</v>
      </c>
      <c r="E61" s="27" t="s">
        <v>73</v>
      </c>
      <c r="F61" s="27" t="s">
        <v>273</v>
      </c>
      <c r="G61" s="28" t="s">
        <v>264</v>
      </c>
      <c r="H61" s="17"/>
      <c r="I61" s="17"/>
      <c r="J61" s="17"/>
      <c r="K61" s="17"/>
      <c r="L61" s="17"/>
      <c r="M61" s="17"/>
      <c r="N61" s="18"/>
    </row>
    <row r="62" spans="1:14" x14ac:dyDescent="0.2">
      <c r="A62" s="24" t="s">
        <v>242</v>
      </c>
      <c r="B62" s="24" t="s">
        <v>314</v>
      </c>
      <c r="C62" s="24" t="s">
        <v>345</v>
      </c>
      <c r="D62" s="24" t="s">
        <v>309</v>
      </c>
      <c r="E62" s="24" t="s">
        <v>66</v>
      </c>
      <c r="F62" s="24" t="s">
        <v>67</v>
      </c>
      <c r="G62" s="25" t="s">
        <v>264</v>
      </c>
      <c r="H62" s="17"/>
      <c r="I62" s="17"/>
      <c r="J62" s="17"/>
      <c r="K62" s="17"/>
      <c r="L62" s="17"/>
      <c r="M62" s="17"/>
      <c r="N62" s="18"/>
    </row>
    <row r="63" spans="1:14" x14ac:dyDescent="0.2">
      <c r="A63" s="27" t="s">
        <v>242</v>
      </c>
      <c r="B63" s="27" t="s">
        <v>314</v>
      </c>
      <c r="C63" s="27" t="s">
        <v>345</v>
      </c>
      <c r="D63" s="27" t="s">
        <v>309</v>
      </c>
      <c r="E63" s="27" t="s">
        <v>68</v>
      </c>
      <c r="F63" s="27" t="s">
        <v>69</v>
      </c>
      <c r="G63" s="28" t="s">
        <v>264</v>
      </c>
      <c r="H63" s="17"/>
      <c r="I63" s="17"/>
      <c r="J63" s="17"/>
      <c r="K63" s="17"/>
      <c r="L63" s="17"/>
      <c r="M63" s="17"/>
      <c r="N63" s="18"/>
    </row>
    <row r="64" spans="1:14" x14ac:dyDescent="0.2">
      <c r="A64" s="24" t="s">
        <v>242</v>
      </c>
      <c r="B64" s="24" t="s">
        <v>314</v>
      </c>
      <c r="C64" s="24" t="s">
        <v>345</v>
      </c>
      <c r="D64" s="24" t="s">
        <v>309</v>
      </c>
      <c r="E64" s="24" t="s">
        <v>72</v>
      </c>
      <c r="F64" s="24" t="s">
        <v>272</v>
      </c>
      <c r="G64" s="25" t="s">
        <v>264</v>
      </c>
      <c r="H64" s="17"/>
      <c r="I64" s="17"/>
      <c r="J64" s="17"/>
      <c r="K64" s="17"/>
      <c r="L64" s="17"/>
      <c r="M64" s="17"/>
      <c r="N64" s="18"/>
    </row>
    <row r="65" spans="1:14" ht="22.5" x14ac:dyDescent="0.2">
      <c r="A65" s="27" t="s">
        <v>242</v>
      </c>
      <c r="B65" s="27" t="s">
        <v>314</v>
      </c>
      <c r="C65" s="27" t="s">
        <v>345</v>
      </c>
      <c r="D65" s="27" t="s">
        <v>309</v>
      </c>
      <c r="E65" s="27" t="s">
        <v>74</v>
      </c>
      <c r="F65" s="27" t="s">
        <v>296</v>
      </c>
      <c r="G65" s="28" t="s">
        <v>264</v>
      </c>
      <c r="H65" s="17"/>
      <c r="I65" s="17"/>
      <c r="J65" s="17"/>
      <c r="K65" s="17"/>
      <c r="L65" s="17"/>
      <c r="M65" s="17"/>
      <c r="N65" s="18"/>
    </row>
    <row r="66" spans="1:14" x14ac:dyDescent="0.2">
      <c r="A66" s="24" t="s">
        <v>242</v>
      </c>
      <c r="B66" s="24" t="s">
        <v>314</v>
      </c>
      <c r="C66" s="24" t="s">
        <v>346</v>
      </c>
      <c r="D66" s="24" t="s">
        <v>65</v>
      </c>
      <c r="E66" s="24" t="s">
        <v>63</v>
      </c>
      <c r="F66" s="24" t="s">
        <v>64</v>
      </c>
      <c r="G66" s="25" t="s">
        <v>261</v>
      </c>
      <c r="H66" s="17"/>
      <c r="I66" s="17"/>
      <c r="J66" s="17"/>
      <c r="K66" s="17"/>
      <c r="L66" s="17"/>
      <c r="M66" s="17"/>
      <c r="N66" s="18"/>
    </row>
    <row r="67" spans="1:14" x14ac:dyDescent="0.2">
      <c r="A67" s="27" t="s">
        <v>242</v>
      </c>
      <c r="B67" s="27" t="s">
        <v>314</v>
      </c>
      <c r="C67" s="27" t="s">
        <v>346</v>
      </c>
      <c r="D67" s="27" t="s">
        <v>65</v>
      </c>
      <c r="E67" s="27" t="s">
        <v>57</v>
      </c>
      <c r="F67" s="27" t="s">
        <v>58</v>
      </c>
      <c r="G67" s="28" t="s">
        <v>248</v>
      </c>
      <c r="H67" s="17"/>
      <c r="I67" s="17"/>
      <c r="J67" s="17"/>
      <c r="K67" s="17"/>
      <c r="L67" s="17"/>
      <c r="M67" s="17"/>
      <c r="N67" s="18"/>
    </row>
    <row r="68" spans="1:14" x14ac:dyDescent="0.2">
      <c r="A68" s="24" t="s">
        <v>242</v>
      </c>
      <c r="B68" s="24" t="s">
        <v>314</v>
      </c>
      <c r="C68" s="24" t="s">
        <v>346</v>
      </c>
      <c r="D68" s="24" t="s">
        <v>65</v>
      </c>
      <c r="E68" s="24" t="s">
        <v>53</v>
      </c>
      <c r="F68" s="24" t="s">
        <v>54</v>
      </c>
      <c r="G68" s="25" t="s">
        <v>261</v>
      </c>
      <c r="H68" s="17"/>
      <c r="I68" s="17"/>
      <c r="J68" s="17"/>
      <c r="K68" s="17"/>
      <c r="L68" s="17"/>
      <c r="M68" s="17"/>
      <c r="N68" s="18"/>
    </row>
    <row r="69" spans="1:14" x14ac:dyDescent="0.2">
      <c r="A69" s="27" t="s">
        <v>242</v>
      </c>
      <c r="B69" s="27" t="s">
        <v>314</v>
      </c>
      <c r="C69" s="27" t="s">
        <v>346</v>
      </c>
      <c r="D69" s="27" t="s">
        <v>65</v>
      </c>
      <c r="E69" s="27" t="s">
        <v>47</v>
      </c>
      <c r="F69" s="27" t="s">
        <v>48</v>
      </c>
      <c r="G69" s="28" t="s">
        <v>261</v>
      </c>
      <c r="H69" s="17"/>
      <c r="I69" s="17"/>
      <c r="J69" s="17"/>
      <c r="K69" s="17"/>
      <c r="L69" s="17"/>
      <c r="M69" s="17"/>
      <c r="N69" s="18"/>
    </row>
    <row r="70" spans="1:14" x14ac:dyDescent="0.2">
      <c r="A70" s="24" t="s">
        <v>242</v>
      </c>
      <c r="B70" s="24" t="s">
        <v>314</v>
      </c>
      <c r="C70" s="24" t="s">
        <v>346</v>
      </c>
      <c r="D70" s="24" t="s">
        <v>65</v>
      </c>
      <c r="E70" s="24" t="s">
        <v>59</v>
      </c>
      <c r="F70" s="24" t="s">
        <v>270</v>
      </c>
      <c r="G70" s="25" t="s">
        <v>261</v>
      </c>
      <c r="H70" s="17"/>
      <c r="I70" s="17"/>
      <c r="J70" s="17"/>
      <c r="K70" s="17"/>
      <c r="L70" s="17"/>
      <c r="M70" s="17"/>
      <c r="N70" s="18"/>
    </row>
    <row r="71" spans="1:14" x14ac:dyDescent="0.2">
      <c r="A71" s="27" t="s">
        <v>242</v>
      </c>
      <c r="B71" s="27" t="s">
        <v>314</v>
      </c>
      <c r="C71" s="27" t="s">
        <v>346</v>
      </c>
      <c r="D71" s="27" t="s">
        <v>65</v>
      </c>
      <c r="E71" s="27" t="s">
        <v>55</v>
      </c>
      <c r="F71" s="27" t="s">
        <v>56</v>
      </c>
      <c r="G71" s="28" t="s">
        <v>261</v>
      </c>
      <c r="H71" s="17"/>
      <c r="I71" s="17"/>
      <c r="J71" s="17"/>
      <c r="K71" s="17"/>
      <c r="L71" s="17"/>
      <c r="M71" s="17"/>
      <c r="N71" s="18"/>
    </row>
    <row r="72" spans="1:14" x14ac:dyDescent="0.2">
      <c r="A72" s="24" t="s">
        <v>242</v>
      </c>
      <c r="B72" s="24" t="s">
        <v>314</v>
      </c>
      <c r="C72" s="24" t="s">
        <v>346</v>
      </c>
      <c r="D72" s="24" t="s">
        <v>65</v>
      </c>
      <c r="E72" s="24" t="s">
        <v>60</v>
      </c>
      <c r="F72" s="24" t="s">
        <v>61</v>
      </c>
      <c r="G72" s="25" t="s">
        <v>261</v>
      </c>
      <c r="H72" s="17"/>
      <c r="I72" s="17"/>
      <c r="J72" s="17"/>
      <c r="K72" s="17"/>
      <c r="L72" s="17"/>
      <c r="M72" s="17"/>
      <c r="N72" s="18"/>
    </row>
    <row r="73" spans="1:14" x14ac:dyDescent="0.2">
      <c r="A73" s="27" t="s">
        <v>242</v>
      </c>
      <c r="B73" s="27" t="s">
        <v>314</v>
      </c>
      <c r="C73" s="27" t="s">
        <v>346</v>
      </c>
      <c r="D73" s="27" t="s">
        <v>65</v>
      </c>
      <c r="E73" s="27" t="s">
        <v>62</v>
      </c>
      <c r="F73" s="27" t="s">
        <v>271</v>
      </c>
      <c r="G73" s="28" t="s">
        <v>261</v>
      </c>
      <c r="H73" s="17"/>
      <c r="I73" s="17"/>
      <c r="J73" s="17"/>
      <c r="K73" s="17"/>
      <c r="L73" s="17"/>
      <c r="M73" s="17"/>
      <c r="N73" s="18"/>
    </row>
    <row r="74" spans="1:14" x14ac:dyDescent="0.2">
      <c r="A74" s="24" t="s">
        <v>242</v>
      </c>
      <c r="B74" s="24" t="s">
        <v>314</v>
      </c>
      <c r="C74" s="24" t="s">
        <v>346</v>
      </c>
      <c r="D74" s="24" t="s">
        <v>65</v>
      </c>
      <c r="E74" s="24" t="s">
        <v>49</v>
      </c>
      <c r="F74" s="24" t="s">
        <v>50</v>
      </c>
      <c r="G74" s="25" t="s">
        <v>261</v>
      </c>
      <c r="H74" s="17"/>
      <c r="I74" s="17"/>
      <c r="J74" s="17"/>
      <c r="K74" s="17"/>
      <c r="L74" s="17"/>
      <c r="M74" s="17"/>
      <c r="N74" s="18"/>
    </row>
    <row r="75" spans="1:14" x14ac:dyDescent="0.2">
      <c r="A75" s="27" t="s">
        <v>242</v>
      </c>
      <c r="B75" s="27" t="s">
        <v>314</v>
      </c>
      <c r="C75" s="27" t="s">
        <v>346</v>
      </c>
      <c r="D75" s="27" t="s">
        <v>65</v>
      </c>
      <c r="E75" s="27" t="s">
        <v>51</v>
      </c>
      <c r="F75" s="27" t="s">
        <v>52</v>
      </c>
      <c r="G75" s="28" t="s">
        <v>261</v>
      </c>
      <c r="H75" s="17"/>
      <c r="I75" s="17"/>
      <c r="J75" s="17"/>
      <c r="K75" s="17"/>
      <c r="L75" s="17"/>
      <c r="M75" s="17"/>
      <c r="N75" s="18"/>
    </row>
    <row r="76" spans="1:14" x14ac:dyDescent="0.2">
      <c r="A76" s="24" t="s">
        <v>242</v>
      </c>
      <c r="B76" s="24" t="s">
        <v>314</v>
      </c>
      <c r="C76" s="24" t="s">
        <v>346</v>
      </c>
      <c r="D76" s="24" t="s">
        <v>65</v>
      </c>
      <c r="E76" s="24" t="s">
        <v>45</v>
      </c>
      <c r="F76" s="24" t="s">
        <v>46</v>
      </c>
      <c r="G76" s="25" t="s">
        <v>261</v>
      </c>
      <c r="H76" s="17"/>
      <c r="I76" s="17"/>
      <c r="J76" s="17"/>
      <c r="K76" s="17"/>
      <c r="L76" s="17"/>
      <c r="M76" s="17"/>
      <c r="N76" s="18"/>
    </row>
    <row r="77" spans="1:14" x14ac:dyDescent="0.2">
      <c r="A77" s="27" t="s">
        <v>243</v>
      </c>
      <c r="B77" s="27" t="s">
        <v>315</v>
      </c>
      <c r="C77" s="27" t="s">
        <v>344</v>
      </c>
      <c r="D77" s="27" t="s">
        <v>32</v>
      </c>
      <c r="E77" s="27" t="s">
        <v>1</v>
      </c>
      <c r="F77" s="27" t="s">
        <v>2</v>
      </c>
      <c r="G77" s="28" t="s">
        <v>261</v>
      </c>
      <c r="H77" s="17"/>
      <c r="I77" s="17"/>
      <c r="J77" s="17"/>
      <c r="K77" s="17"/>
      <c r="L77" s="17"/>
      <c r="M77" s="17"/>
      <c r="N77" s="18"/>
    </row>
    <row r="78" spans="1:14" x14ac:dyDescent="0.2">
      <c r="A78" s="24" t="s">
        <v>243</v>
      </c>
      <c r="B78" s="24" t="s">
        <v>315</v>
      </c>
      <c r="C78" s="24" t="s">
        <v>345</v>
      </c>
      <c r="D78" s="24" t="s">
        <v>310</v>
      </c>
      <c r="E78" s="24" t="s">
        <v>90</v>
      </c>
      <c r="F78" s="24" t="s">
        <v>91</v>
      </c>
      <c r="G78" s="25" t="s">
        <v>261</v>
      </c>
      <c r="H78" s="17"/>
      <c r="I78" s="17"/>
      <c r="J78" s="17"/>
      <c r="K78" s="17"/>
      <c r="L78" s="17"/>
      <c r="M78" s="17"/>
      <c r="N78" s="18"/>
    </row>
    <row r="79" spans="1:14" x14ac:dyDescent="0.2">
      <c r="A79" s="27" t="s">
        <v>243</v>
      </c>
      <c r="B79" s="27" t="s">
        <v>315</v>
      </c>
      <c r="C79" s="27" t="s">
        <v>345</v>
      </c>
      <c r="D79" s="27" t="s">
        <v>310</v>
      </c>
      <c r="E79" s="27" t="s">
        <v>92</v>
      </c>
      <c r="F79" s="27" t="s">
        <v>279</v>
      </c>
      <c r="G79" s="28" t="s">
        <v>261</v>
      </c>
      <c r="H79" s="17"/>
      <c r="I79" s="17"/>
      <c r="J79" s="17"/>
      <c r="K79" s="17"/>
      <c r="L79" s="17"/>
      <c r="M79" s="17"/>
      <c r="N79" s="18"/>
    </row>
    <row r="80" spans="1:14" ht="22.5" x14ac:dyDescent="0.2">
      <c r="A80" s="24" t="s">
        <v>243</v>
      </c>
      <c r="B80" s="24" t="s">
        <v>315</v>
      </c>
      <c r="C80" s="24" t="s">
        <v>345</v>
      </c>
      <c r="D80" s="24" t="s">
        <v>310</v>
      </c>
      <c r="E80" s="24" t="s">
        <v>93</v>
      </c>
      <c r="F80" s="24" t="s">
        <v>296</v>
      </c>
      <c r="G80" s="25" t="s">
        <v>261</v>
      </c>
      <c r="H80" s="17"/>
      <c r="I80" s="17"/>
      <c r="J80" s="17"/>
      <c r="K80" s="17"/>
      <c r="L80" s="17"/>
      <c r="M80" s="17"/>
      <c r="N80" s="18"/>
    </row>
    <row r="81" spans="1:14" x14ac:dyDescent="0.2">
      <c r="A81" s="27" t="s">
        <v>243</v>
      </c>
      <c r="B81" s="27" t="s">
        <v>315</v>
      </c>
      <c r="C81" s="27" t="s">
        <v>346</v>
      </c>
      <c r="D81" s="27" t="s">
        <v>65</v>
      </c>
      <c r="E81" s="27" t="s">
        <v>63</v>
      </c>
      <c r="F81" s="27" t="s">
        <v>64</v>
      </c>
      <c r="G81" s="28" t="s">
        <v>261</v>
      </c>
      <c r="H81" s="17"/>
      <c r="I81" s="17"/>
      <c r="J81" s="17"/>
      <c r="K81" s="17"/>
      <c r="L81" s="17"/>
      <c r="M81" s="17"/>
      <c r="N81" s="18"/>
    </row>
    <row r="82" spans="1:14" x14ac:dyDescent="0.2">
      <c r="A82" s="24" t="s">
        <v>243</v>
      </c>
      <c r="B82" s="24" t="s">
        <v>315</v>
      </c>
      <c r="C82" s="24" t="s">
        <v>346</v>
      </c>
      <c r="D82" s="24" t="s">
        <v>65</v>
      </c>
      <c r="E82" s="24" t="s">
        <v>53</v>
      </c>
      <c r="F82" s="24" t="s">
        <v>54</v>
      </c>
      <c r="G82" s="25" t="s">
        <v>261</v>
      </c>
      <c r="H82" s="17"/>
      <c r="I82" s="17"/>
      <c r="J82" s="17"/>
      <c r="K82" s="17"/>
      <c r="L82" s="17"/>
      <c r="M82" s="17"/>
      <c r="N82" s="18"/>
    </row>
    <row r="83" spans="1:14" x14ac:dyDescent="0.2">
      <c r="A83" s="27" t="s">
        <v>243</v>
      </c>
      <c r="B83" s="27" t="s">
        <v>315</v>
      </c>
      <c r="C83" s="27" t="s">
        <v>346</v>
      </c>
      <c r="D83" s="27" t="s">
        <v>65</v>
      </c>
      <c r="E83" s="27" t="s">
        <v>47</v>
      </c>
      <c r="F83" s="27" t="s">
        <v>48</v>
      </c>
      <c r="G83" s="28" t="s">
        <v>261</v>
      </c>
      <c r="H83" s="17"/>
      <c r="I83" s="17"/>
      <c r="J83" s="17"/>
      <c r="K83" s="17"/>
      <c r="L83" s="17"/>
      <c r="M83" s="17"/>
      <c r="N83" s="18"/>
    </row>
    <row r="84" spans="1:14" x14ac:dyDescent="0.2">
      <c r="A84" s="24" t="s">
        <v>243</v>
      </c>
      <c r="B84" s="24" t="s">
        <v>315</v>
      </c>
      <c r="C84" s="24" t="s">
        <v>346</v>
      </c>
      <c r="D84" s="24" t="s">
        <v>65</v>
      </c>
      <c r="E84" s="24" t="s">
        <v>59</v>
      </c>
      <c r="F84" s="24" t="s">
        <v>270</v>
      </c>
      <c r="G84" s="25" t="s">
        <v>261</v>
      </c>
      <c r="H84" s="17"/>
      <c r="I84" s="17"/>
      <c r="J84" s="17"/>
      <c r="K84" s="17"/>
      <c r="L84" s="17"/>
      <c r="M84" s="17"/>
      <c r="N84" s="18"/>
    </row>
    <row r="85" spans="1:14" x14ac:dyDescent="0.2">
      <c r="A85" s="27" t="s">
        <v>243</v>
      </c>
      <c r="B85" s="27" t="s">
        <v>315</v>
      </c>
      <c r="C85" s="27" t="s">
        <v>346</v>
      </c>
      <c r="D85" s="27" t="s">
        <v>65</v>
      </c>
      <c r="E85" s="27" t="s">
        <v>55</v>
      </c>
      <c r="F85" s="27" t="s">
        <v>56</v>
      </c>
      <c r="G85" s="28" t="s">
        <v>261</v>
      </c>
      <c r="H85" s="17"/>
      <c r="I85" s="17"/>
      <c r="J85" s="17"/>
      <c r="K85" s="17"/>
      <c r="L85" s="17"/>
      <c r="M85" s="17"/>
      <c r="N85" s="18"/>
    </row>
    <row r="86" spans="1:14" x14ac:dyDescent="0.2">
      <c r="A86" s="24" t="s">
        <v>243</v>
      </c>
      <c r="B86" s="24" t="s">
        <v>315</v>
      </c>
      <c r="C86" s="24" t="s">
        <v>346</v>
      </c>
      <c r="D86" s="24" t="s">
        <v>65</v>
      </c>
      <c r="E86" s="24" t="s">
        <v>60</v>
      </c>
      <c r="F86" s="24" t="s">
        <v>61</v>
      </c>
      <c r="G86" s="25" t="s">
        <v>261</v>
      </c>
      <c r="H86" s="17"/>
      <c r="I86" s="17"/>
      <c r="J86" s="17"/>
      <c r="K86" s="17"/>
      <c r="L86" s="17"/>
      <c r="M86" s="17"/>
      <c r="N86" s="18"/>
    </row>
    <row r="87" spans="1:14" x14ac:dyDescent="0.2">
      <c r="A87" s="27" t="s">
        <v>243</v>
      </c>
      <c r="B87" s="27" t="s">
        <v>315</v>
      </c>
      <c r="C87" s="27" t="s">
        <v>346</v>
      </c>
      <c r="D87" s="27" t="s">
        <v>65</v>
      </c>
      <c r="E87" s="27" t="s">
        <v>62</v>
      </c>
      <c r="F87" s="27" t="s">
        <v>271</v>
      </c>
      <c r="G87" s="28" t="s">
        <v>261</v>
      </c>
      <c r="H87" s="17"/>
      <c r="I87" s="17"/>
      <c r="J87" s="17"/>
      <c r="K87" s="17"/>
      <c r="L87" s="17"/>
      <c r="M87" s="17"/>
      <c r="N87" s="18"/>
    </row>
    <row r="88" spans="1:14" x14ac:dyDescent="0.2">
      <c r="A88" s="24" t="s">
        <v>243</v>
      </c>
      <c r="B88" s="24" t="s">
        <v>315</v>
      </c>
      <c r="C88" s="24" t="s">
        <v>346</v>
      </c>
      <c r="D88" s="24" t="s">
        <v>65</v>
      </c>
      <c r="E88" s="24" t="s">
        <v>49</v>
      </c>
      <c r="F88" s="24" t="s">
        <v>50</v>
      </c>
      <c r="G88" s="25" t="s">
        <v>261</v>
      </c>
      <c r="H88" s="17"/>
      <c r="I88" s="17"/>
      <c r="J88" s="17"/>
      <c r="K88" s="17"/>
      <c r="L88" s="17"/>
      <c r="M88" s="17"/>
      <c r="N88" s="18"/>
    </row>
    <row r="89" spans="1:14" x14ac:dyDescent="0.2">
      <c r="A89" s="27" t="s">
        <v>243</v>
      </c>
      <c r="B89" s="27" t="s">
        <v>315</v>
      </c>
      <c r="C89" s="27" t="s">
        <v>346</v>
      </c>
      <c r="D89" s="27" t="s">
        <v>65</v>
      </c>
      <c r="E89" s="27" t="s">
        <v>51</v>
      </c>
      <c r="F89" s="27" t="s">
        <v>52</v>
      </c>
      <c r="G89" s="28" t="s">
        <v>261</v>
      </c>
      <c r="H89" s="17"/>
      <c r="I89" s="17"/>
      <c r="J89" s="17"/>
      <c r="K89" s="17"/>
      <c r="L89" s="17"/>
      <c r="M89" s="17"/>
      <c r="N89" s="18"/>
    </row>
    <row r="90" spans="1:14" x14ac:dyDescent="0.2">
      <c r="A90" s="24" t="s">
        <v>243</v>
      </c>
      <c r="B90" s="24" t="s">
        <v>315</v>
      </c>
      <c r="C90" s="24" t="s">
        <v>346</v>
      </c>
      <c r="D90" s="24" t="s">
        <v>65</v>
      </c>
      <c r="E90" s="24" t="s">
        <v>45</v>
      </c>
      <c r="F90" s="24" t="s">
        <v>46</v>
      </c>
      <c r="G90" s="25" t="s">
        <v>261</v>
      </c>
      <c r="H90" s="17"/>
      <c r="I90" s="17"/>
      <c r="J90" s="17"/>
      <c r="K90" s="17"/>
      <c r="L90" s="17"/>
      <c r="M90" s="17"/>
      <c r="N90" s="18"/>
    </row>
    <row r="91" spans="1:14" ht="33.75" x14ac:dyDescent="0.2">
      <c r="A91" s="27" t="s">
        <v>243</v>
      </c>
      <c r="B91" s="27" t="s">
        <v>315</v>
      </c>
      <c r="C91" s="27" t="s">
        <v>347</v>
      </c>
      <c r="D91" s="27" t="s">
        <v>295</v>
      </c>
      <c r="E91" s="27" t="s">
        <v>94</v>
      </c>
      <c r="F91" s="27" t="s">
        <v>95</v>
      </c>
      <c r="G91" s="28" t="s">
        <v>261</v>
      </c>
      <c r="H91" s="17"/>
      <c r="I91" s="17"/>
      <c r="J91" s="17"/>
      <c r="K91" s="17"/>
      <c r="L91" s="17"/>
      <c r="M91" s="17"/>
      <c r="N91" s="18"/>
    </row>
    <row r="92" spans="1:14" ht="33.75" x14ac:dyDescent="0.2">
      <c r="A92" s="24" t="s">
        <v>243</v>
      </c>
      <c r="B92" s="24" t="s">
        <v>315</v>
      </c>
      <c r="C92" s="24" t="s">
        <v>347</v>
      </c>
      <c r="D92" s="24" t="s">
        <v>295</v>
      </c>
      <c r="E92" s="24" t="s">
        <v>93</v>
      </c>
      <c r="F92" s="24" t="s">
        <v>296</v>
      </c>
      <c r="G92" s="25" t="s">
        <v>261</v>
      </c>
      <c r="H92" s="17"/>
      <c r="I92" s="17"/>
      <c r="J92" s="17"/>
      <c r="K92" s="17"/>
      <c r="L92" s="17"/>
      <c r="M92" s="17"/>
      <c r="N92" s="18"/>
    </row>
    <row r="93" spans="1:14" ht="33.75" x14ac:dyDescent="0.2">
      <c r="A93" s="27" t="s">
        <v>243</v>
      </c>
      <c r="B93" s="27" t="s">
        <v>315</v>
      </c>
      <c r="C93" s="27" t="s">
        <v>347</v>
      </c>
      <c r="D93" s="27" t="s">
        <v>295</v>
      </c>
      <c r="E93" s="27" t="s">
        <v>33</v>
      </c>
      <c r="F93" s="27" t="s">
        <v>96</v>
      </c>
      <c r="G93" s="28" t="s">
        <v>261</v>
      </c>
      <c r="H93" s="17"/>
      <c r="I93" s="17"/>
      <c r="J93" s="17"/>
      <c r="K93" s="17"/>
      <c r="L93" s="17"/>
      <c r="M93" s="17"/>
      <c r="N93" s="18"/>
    </row>
    <row r="94" spans="1:14" x14ac:dyDescent="0.2">
      <c r="A94" s="24" t="s">
        <v>255</v>
      </c>
      <c r="B94" s="24" t="s">
        <v>331</v>
      </c>
      <c r="C94" s="24" t="s">
        <v>344</v>
      </c>
      <c r="D94" s="24" t="s">
        <v>241</v>
      </c>
      <c r="E94" s="24" t="s">
        <v>33</v>
      </c>
      <c r="F94" s="24" t="s">
        <v>34</v>
      </c>
      <c r="G94" s="25" t="s">
        <v>264</v>
      </c>
      <c r="H94" s="17"/>
      <c r="I94" s="17"/>
      <c r="J94" s="17"/>
      <c r="K94" s="17"/>
      <c r="L94" s="17"/>
      <c r="M94" s="17"/>
      <c r="N94" s="18"/>
    </row>
    <row r="95" spans="1:14" x14ac:dyDescent="0.2">
      <c r="A95" s="27" t="s">
        <v>255</v>
      </c>
      <c r="B95" s="27" t="s">
        <v>331</v>
      </c>
      <c r="C95" s="27" t="s">
        <v>344</v>
      </c>
      <c r="D95" s="27" t="s">
        <v>241</v>
      </c>
      <c r="E95" s="27" t="s">
        <v>35</v>
      </c>
      <c r="F95" s="27" t="s">
        <v>36</v>
      </c>
      <c r="G95" s="28" t="s">
        <v>264</v>
      </c>
      <c r="H95" s="17"/>
      <c r="I95" s="17"/>
      <c r="J95" s="17"/>
      <c r="K95" s="17"/>
      <c r="L95" s="17"/>
      <c r="M95" s="17"/>
      <c r="N95" s="18"/>
    </row>
    <row r="96" spans="1:14" x14ac:dyDescent="0.2">
      <c r="A96" s="24" t="s">
        <v>255</v>
      </c>
      <c r="B96" s="24" t="s">
        <v>331</v>
      </c>
      <c r="C96" s="24" t="s">
        <v>345</v>
      </c>
      <c r="D96" s="24" t="s">
        <v>309</v>
      </c>
      <c r="E96" s="24" t="s">
        <v>70</v>
      </c>
      <c r="F96" s="24" t="s">
        <v>71</v>
      </c>
      <c r="G96" s="25" t="s">
        <v>264</v>
      </c>
      <c r="H96" s="17"/>
      <c r="I96" s="17"/>
      <c r="J96" s="17"/>
      <c r="K96" s="17"/>
      <c r="L96" s="17"/>
      <c r="M96" s="17"/>
      <c r="N96" s="18"/>
    </row>
    <row r="97" spans="1:14" x14ac:dyDescent="0.2">
      <c r="A97" s="27" t="s">
        <v>255</v>
      </c>
      <c r="B97" s="27" t="s">
        <v>331</v>
      </c>
      <c r="C97" s="27" t="s">
        <v>345</v>
      </c>
      <c r="D97" s="27" t="s">
        <v>309</v>
      </c>
      <c r="E97" s="27" t="s">
        <v>73</v>
      </c>
      <c r="F97" s="27" t="s">
        <v>273</v>
      </c>
      <c r="G97" s="28" t="s">
        <v>264</v>
      </c>
      <c r="H97" s="17"/>
      <c r="I97" s="17"/>
      <c r="J97" s="17"/>
      <c r="K97" s="17"/>
      <c r="L97" s="17"/>
      <c r="M97" s="17"/>
      <c r="N97" s="18"/>
    </row>
    <row r="98" spans="1:14" x14ac:dyDescent="0.2">
      <c r="A98" s="24" t="s">
        <v>255</v>
      </c>
      <c r="B98" s="24" t="s">
        <v>331</v>
      </c>
      <c r="C98" s="24" t="s">
        <v>345</v>
      </c>
      <c r="D98" s="24" t="s">
        <v>309</v>
      </c>
      <c r="E98" s="24" t="s">
        <v>66</v>
      </c>
      <c r="F98" s="24" t="s">
        <v>67</v>
      </c>
      <c r="G98" s="25" t="s">
        <v>264</v>
      </c>
      <c r="H98" s="17"/>
      <c r="I98" s="17"/>
      <c r="J98" s="17"/>
      <c r="K98" s="17"/>
      <c r="L98" s="17"/>
      <c r="M98" s="17"/>
      <c r="N98" s="18"/>
    </row>
    <row r="99" spans="1:14" x14ac:dyDescent="0.2">
      <c r="A99" s="27" t="s">
        <v>255</v>
      </c>
      <c r="B99" s="27" t="s">
        <v>331</v>
      </c>
      <c r="C99" s="27" t="s">
        <v>345</v>
      </c>
      <c r="D99" s="27" t="s">
        <v>309</v>
      </c>
      <c r="E99" s="27" t="s">
        <v>68</v>
      </c>
      <c r="F99" s="27" t="s">
        <v>69</v>
      </c>
      <c r="G99" s="28" t="s">
        <v>264</v>
      </c>
      <c r="H99" s="17"/>
      <c r="I99" s="17"/>
      <c r="J99" s="17"/>
      <c r="K99" s="17"/>
      <c r="L99" s="17"/>
      <c r="M99" s="17"/>
      <c r="N99" s="18"/>
    </row>
    <row r="100" spans="1:14" x14ac:dyDescent="0.2">
      <c r="A100" s="24" t="s">
        <v>255</v>
      </c>
      <c r="B100" s="24" t="s">
        <v>331</v>
      </c>
      <c r="C100" s="24" t="s">
        <v>345</v>
      </c>
      <c r="D100" s="24" t="s">
        <v>309</v>
      </c>
      <c r="E100" s="24" t="s">
        <v>72</v>
      </c>
      <c r="F100" s="24" t="s">
        <v>272</v>
      </c>
      <c r="G100" s="25" t="s">
        <v>264</v>
      </c>
      <c r="H100" s="17"/>
      <c r="I100" s="17"/>
      <c r="J100" s="17"/>
      <c r="K100" s="17"/>
      <c r="L100" s="17"/>
      <c r="M100" s="17"/>
      <c r="N100" s="18"/>
    </row>
    <row r="101" spans="1:14" ht="22.5" x14ac:dyDescent="0.2">
      <c r="A101" s="27" t="s">
        <v>255</v>
      </c>
      <c r="B101" s="27" t="s">
        <v>331</v>
      </c>
      <c r="C101" s="27" t="s">
        <v>345</v>
      </c>
      <c r="D101" s="27" t="s">
        <v>309</v>
      </c>
      <c r="E101" s="27" t="s">
        <v>74</v>
      </c>
      <c r="F101" s="27" t="s">
        <v>296</v>
      </c>
      <c r="G101" s="28" t="s">
        <v>264</v>
      </c>
      <c r="H101" s="17"/>
      <c r="I101" s="17"/>
      <c r="J101" s="17"/>
      <c r="K101" s="17"/>
      <c r="L101" s="17"/>
      <c r="M101" s="17"/>
      <c r="N101" s="18"/>
    </row>
    <row r="102" spans="1:14" x14ac:dyDescent="0.2">
      <c r="A102" s="24" t="s">
        <v>255</v>
      </c>
      <c r="B102" s="24" t="s">
        <v>331</v>
      </c>
      <c r="C102" s="24" t="s">
        <v>346</v>
      </c>
      <c r="D102" s="24" t="s">
        <v>65</v>
      </c>
      <c r="E102" s="24" t="s">
        <v>63</v>
      </c>
      <c r="F102" s="24" t="s">
        <v>64</v>
      </c>
      <c r="G102" s="25" t="s">
        <v>264</v>
      </c>
      <c r="H102" s="17"/>
      <c r="I102" s="17"/>
      <c r="J102" s="17"/>
      <c r="K102" s="17"/>
      <c r="L102" s="17"/>
      <c r="M102" s="17"/>
      <c r="N102" s="18"/>
    </row>
    <row r="103" spans="1:14" x14ac:dyDescent="0.2">
      <c r="A103" s="27" t="s">
        <v>255</v>
      </c>
      <c r="B103" s="27" t="s">
        <v>331</v>
      </c>
      <c r="C103" s="27" t="s">
        <v>346</v>
      </c>
      <c r="D103" s="27" t="s">
        <v>65</v>
      </c>
      <c r="E103" s="27" t="s">
        <v>53</v>
      </c>
      <c r="F103" s="27" t="s">
        <v>54</v>
      </c>
      <c r="G103" s="28" t="s">
        <v>264</v>
      </c>
      <c r="H103" s="17"/>
      <c r="I103" s="17"/>
      <c r="J103" s="17"/>
      <c r="K103" s="17"/>
      <c r="L103" s="17"/>
      <c r="M103" s="17"/>
      <c r="N103" s="18"/>
    </row>
    <row r="104" spans="1:14" x14ac:dyDescent="0.2">
      <c r="A104" s="24" t="s">
        <v>255</v>
      </c>
      <c r="B104" s="24" t="s">
        <v>331</v>
      </c>
      <c r="C104" s="24" t="s">
        <v>346</v>
      </c>
      <c r="D104" s="24" t="s">
        <v>65</v>
      </c>
      <c r="E104" s="24" t="s">
        <v>47</v>
      </c>
      <c r="F104" s="24" t="s">
        <v>48</v>
      </c>
      <c r="G104" s="25" t="s">
        <v>264</v>
      </c>
      <c r="H104" s="17"/>
      <c r="I104" s="17"/>
      <c r="J104" s="17"/>
      <c r="K104" s="17"/>
      <c r="L104" s="17"/>
      <c r="M104" s="17"/>
      <c r="N104" s="18"/>
    </row>
    <row r="105" spans="1:14" x14ac:dyDescent="0.2">
      <c r="A105" s="27" t="s">
        <v>255</v>
      </c>
      <c r="B105" s="27" t="s">
        <v>331</v>
      </c>
      <c r="C105" s="27" t="s">
        <v>346</v>
      </c>
      <c r="D105" s="27" t="s">
        <v>65</v>
      </c>
      <c r="E105" s="27" t="s">
        <v>59</v>
      </c>
      <c r="F105" s="27" t="s">
        <v>270</v>
      </c>
      <c r="G105" s="28" t="s">
        <v>264</v>
      </c>
      <c r="H105" s="17"/>
      <c r="I105" s="17"/>
      <c r="J105" s="17"/>
      <c r="K105" s="17"/>
      <c r="L105" s="17"/>
      <c r="M105" s="17"/>
      <c r="N105" s="18"/>
    </row>
    <row r="106" spans="1:14" x14ac:dyDescent="0.2">
      <c r="A106" s="24" t="s">
        <v>255</v>
      </c>
      <c r="B106" s="24" t="s">
        <v>331</v>
      </c>
      <c r="C106" s="24" t="s">
        <v>346</v>
      </c>
      <c r="D106" s="24" t="s">
        <v>65</v>
      </c>
      <c r="E106" s="24" t="s">
        <v>55</v>
      </c>
      <c r="F106" s="24" t="s">
        <v>56</v>
      </c>
      <c r="G106" s="25" t="s">
        <v>264</v>
      </c>
      <c r="H106" s="17"/>
      <c r="I106" s="17"/>
      <c r="J106" s="17"/>
      <c r="K106" s="17"/>
      <c r="L106" s="17"/>
      <c r="M106" s="17"/>
      <c r="N106" s="18"/>
    </row>
    <row r="107" spans="1:14" x14ac:dyDescent="0.2">
      <c r="A107" s="27" t="s">
        <v>255</v>
      </c>
      <c r="B107" s="27" t="s">
        <v>331</v>
      </c>
      <c r="C107" s="27" t="s">
        <v>346</v>
      </c>
      <c r="D107" s="27" t="s">
        <v>65</v>
      </c>
      <c r="E107" s="27" t="s">
        <v>60</v>
      </c>
      <c r="F107" s="27" t="s">
        <v>61</v>
      </c>
      <c r="G107" s="28" t="s">
        <v>264</v>
      </c>
      <c r="H107" s="17"/>
      <c r="I107" s="17"/>
      <c r="J107" s="17"/>
      <c r="K107" s="17"/>
      <c r="L107" s="17"/>
      <c r="M107" s="17"/>
      <c r="N107" s="18"/>
    </row>
    <row r="108" spans="1:14" x14ac:dyDescent="0.2">
      <c r="A108" s="24" t="s">
        <v>255</v>
      </c>
      <c r="B108" s="24" t="s">
        <v>331</v>
      </c>
      <c r="C108" s="24" t="s">
        <v>346</v>
      </c>
      <c r="D108" s="24" t="s">
        <v>65</v>
      </c>
      <c r="E108" s="24" t="s">
        <v>62</v>
      </c>
      <c r="F108" s="24" t="s">
        <v>271</v>
      </c>
      <c r="G108" s="25" t="s">
        <v>264</v>
      </c>
      <c r="H108" s="17"/>
      <c r="I108" s="17"/>
      <c r="J108" s="17"/>
      <c r="K108" s="17"/>
      <c r="L108" s="17"/>
      <c r="M108" s="17"/>
      <c r="N108" s="18"/>
    </row>
    <row r="109" spans="1:14" x14ac:dyDescent="0.2">
      <c r="A109" s="27" t="s">
        <v>255</v>
      </c>
      <c r="B109" s="27" t="s">
        <v>331</v>
      </c>
      <c r="C109" s="27" t="s">
        <v>346</v>
      </c>
      <c r="D109" s="27" t="s">
        <v>65</v>
      </c>
      <c r="E109" s="27" t="s">
        <v>49</v>
      </c>
      <c r="F109" s="27" t="s">
        <v>50</v>
      </c>
      <c r="G109" s="28" t="s">
        <v>264</v>
      </c>
      <c r="H109" s="17"/>
      <c r="I109" s="17"/>
      <c r="J109" s="17"/>
      <c r="K109" s="17"/>
      <c r="L109" s="17"/>
      <c r="M109" s="17"/>
      <c r="N109" s="18"/>
    </row>
    <row r="110" spans="1:14" x14ac:dyDescent="0.2">
      <c r="A110" s="24" t="s">
        <v>255</v>
      </c>
      <c r="B110" s="24" t="s">
        <v>331</v>
      </c>
      <c r="C110" s="24" t="s">
        <v>346</v>
      </c>
      <c r="D110" s="24" t="s">
        <v>65</v>
      </c>
      <c r="E110" s="24" t="s">
        <v>51</v>
      </c>
      <c r="F110" s="24" t="s">
        <v>52</v>
      </c>
      <c r="G110" s="25" t="s">
        <v>264</v>
      </c>
      <c r="H110" s="17"/>
      <c r="I110" s="17"/>
      <c r="J110" s="17"/>
      <c r="K110" s="17"/>
      <c r="L110" s="17"/>
      <c r="M110" s="17"/>
      <c r="N110" s="18"/>
    </row>
    <row r="111" spans="1:14" x14ac:dyDescent="0.2">
      <c r="A111" s="27" t="s">
        <v>255</v>
      </c>
      <c r="B111" s="27" t="s">
        <v>331</v>
      </c>
      <c r="C111" s="27" t="s">
        <v>346</v>
      </c>
      <c r="D111" s="27" t="s">
        <v>65</v>
      </c>
      <c r="E111" s="27" t="s">
        <v>45</v>
      </c>
      <c r="F111" s="27" t="s">
        <v>46</v>
      </c>
      <c r="G111" s="28" t="s">
        <v>264</v>
      </c>
      <c r="H111" s="17"/>
      <c r="I111" s="17"/>
      <c r="J111" s="17"/>
      <c r="K111" s="17"/>
      <c r="L111" s="17"/>
      <c r="M111" s="17"/>
      <c r="N111" s="18"/>
    </row>
    <row r="112" spans="1:14" x14ac:dyDescent="0.2">
      <c r="A112" s="24" t="s">
        <v>256</v>
      </c>
      <c r="B112" s="24" t="s">
        <v>332</v>
      </c>
      <c r="C112" s="24" t="s">
        <v>344</v>
      </c>
      <c r="D112" s="24" t="s">
        <v>241</v>
      </c>
      <c r="E112" s="24" t="s">
        <v>33</v>
      </c>
      <c r="F112" s="24" t="s">
        <v>34</v>
      </c>
      <c r="G112" s="25" t="s">
        <v>264</v>
      </c>
      <c r="H112" s="17"/>
      <c r="I112" s="17"/>
      <c r="J112" s="17"/>
      <c r="K112" s="17"/>
      <c r="L112" s="17"/>
      <c r="M112" s="17"/>
      <c r="N112" s="18"/>
    </row>
    <row r="113" spans="1:14" x14ac:dyDescent="0.2">
      <c r="A113" s="27" t="s">
        <v>256</v>
      </c>
      <c r="B113" s="27" t="s">
        <v>332</v>
      </c>
      <c r="C113" s="27" t="s">
        <v>344</v>
      </c>
      <c r="D113" s="27" t="s">
        <v>241</v>
      </c>
      <c r="E113" s="27" t="s">
        <v>35</v>
      </c>
      <c r="F113" s="27" t="s">
        <v>36</v>
      </c>
      <c r="G113" s="28" t="s">
        <v>264</v>
      </c>
      <c r="H113" s="17"/>
      <c r="I113" s="17"/>
      <c r="J113" s="17"/>
      <c r="K113" s="17"/>
      <c r="L113" s="17"/>
      <c r="M113" s="17"/>
      <c r="N113" s="18"/>
    </row>
    <row r="114" spans="1:14" x14ac:dyDescent="0.2">
      <c r="A114" s="24" t="s">
        <v>256</v>
      </c>
      <c r="B114" s="24" t="s">
        <v>332</v>
      </c>
      <c r="C114" s="24" t="s">
        <v>345</v>
      </c>
      <c r="D114" s="24" t="s">
        <v>309</v>
      </c>
      <c r="E114" s="24" t="s">
        <v>70</v>
      </c>
      <c r="F114" s="24" t="s">
        <v>71</v>
      </c>
      <c r="G114" s="25" t="s">
        <v>264</v>
      </c>
      <c r="H114" s="17"/>
      <c r="I114" s="17"/>
      <c r="J114" s="17"/>
      <c r="K114" s="17"/>
      <c r="L114" s="17"/>
      <c r="M114" s="17"/>
      <c r="N114" s="18"/>
    </row>
    <row r="115" spans="1:14" x14ac:dyDescent="0.2">
      <c r="A115" s="27" t="s">
        <v>256</v>
      </c>
      <c r="B115" s="27" t="s">
        <v>332</v>
      </c>
      <c r="C115" s="27" t="s">
        <v>345</v>
      </c>
      <c r="D115" s="27" t="s">
        <v>309</v>
      </c>
      <c r="E115" s="27" t="s">
        <v>73</v>
      </c>
      <c r="F115" s="27" t="s">
        <v>273</v>
      </c>
      <c r="G115" s="28" t="s">
        <v>264</v>
      </c>
      <c r="H115" s="17"/>
      <c r="I115" s="17"/>
      <c r="J115" s="17"/>
      <c r="K115" s="17"/>
      <c r="L115" s="17"/>
      <c r="M115" s="17"/>
      <c r="N115" s="18"/>
    </row>
    <row r="116" spans="1:14" x14ac:dyDescent="0.2">
      <c r="A116" s="24" t="s">
        <v>256</v>
      </c>
      <c r="B116" s="24" t="s">
        <v>332</v>
      </c>
      <c r="C116" s="24" t="s">
        <v>345</v>
      </c>
      <c r="D116" s="24" t="s">
        <v>309</v>
      </c>
      <c r="E116" s="24" t="s">
        <v>66</v>
      </c>
      <c r="F116" s="24" t="s">
        <v>67</v>
      </c>
      <c r="G116" s="25" t="s">
        <v>264</v>
      </c>
      <c r="H116" s="17"/>
      <c r="I116" s="17"/>
      <c r="J116" s="17"/>
      <c r="K116" s="17"/>
      <c r="L116" s="17"/>
      <c r="M116" s="17"/>
      <c r="N116" s="18"/>
    </row>
    <row r="117" spans="1:14" x14ac:dyDescent="0.2">
      <c r="A117" s="27" t="s">
        <v>256</v>
      </c>
      <c r="B117" s="27" t="s">
        <v>332</v>
      </c>
      <c r="C117" s="27" t="s">
        <v>345</v>
      </c>
      <c r="D117" s="27" t="s">
        <v>309</v>
      </c>
      <c r="E117" s="27" t="s">
        <v>68</v>
      </c>
      <c r="F117" s="27" t="s">
        <v>69</v>
      </c>
      <c r="G117" s="28" t="s">
        <v>264</v>
      </c>
      <c r="H117" s="17"/>
      <c r="I117" s="17"/>
      <c r="J117" s="17"/>
      <c r="K117" s="17"/>
      <c r="L117" s="17"/>
      <c r="M117" s="17"/>
      <c r="N117" s="18"/>
    </row>
    <row r="118" spans="1:14" x14ac:dyDescent="0.2">
      <c r="A118" s="24" t="s">
        <v>256</v>
      </c>
      <c r="B118" s="24" t="s">
        <v>332</v>
      </c>
      <c r="C118" s="24" t="s">
        <v>345</v>
      </c>
      <c r="D118" s="24" t="s">
        <v>309</v>
      </c>
      <c r="E118" s="24" t="s">
        <v>72</v>
      </c>
      <c r="F118" s="24" t="s">
        <v>272</v>
      </c>
      <c r="G118" s="25" t="s">
        <v>264</v>
      </c>
      <c r="H118" s="17"/>
      <c r="I118" s="17"/>
      <c r="J118" s="17"/>
      <c r="K118" s="17"/>
      <c r="L118" s="17"/>
      <c r="M118" s="17"/>
      <c r="N118" s="18"/>
    </row>
    <row r="119" spans="1:14" ht="22.5" x14ac:dyDescent="0.2">
      <c r="A119" s="27" t="s">
        <v>256</v>
      </c>
      <c r="B119" s="27" t="s">
        <v>332</v>
      </c>
      <c r="C119" s="27" t="s">
        <v>345</v>
      </c>
      <c r="D119" s="27" t="s">
        <v>309</v>
      </c>
      <c r="E119" s="27" t="s">
        <v>74</v>
      </c>
      <c r="F119" s="27" t="s">
        <v>296</v>
      </c>
      <c r="G119" s="28" t="s">
        <v>264</v>
      </c>
      <c r="H119" s="17"/>
      <c r="I119" s="17"/>
      <c r="J119" s="17"/>
      <c r="K119" s="17"/>
      <c r="L119" s="17"/>
      <c r="M119" s="17"/>
      <c r="N119" s="18"/>
    </row>
    <row r="120" spans="1:14" x14ac:dyDescent="0.2">
      <c r="A120" s="24" t="s">
        <v>256</v>
      </c>
      <c r="B120" s="24" t="s">
        <v>332</v>
      </c>
      <c r="C120" s="24" t="s">
        <v>346</v>
      </c>
      <c r="D120" s="24" t="s">
        <v>65</v>
      </c>
      <c r="E120" s="24" t="s">
        <v>63</v>
      </c>
      <c r="F120" s="24" t="s">
        <v>64</v>
      </c>
      <c r="G120" s="25" t="s">
        <v>264</v>
      </c>
      <c r="H120" s="17"/>
      <c r="I120" s="17"/>
      <c r="J120" s="17"/>
      <c r="K120" s="17"/>
      <c r="L120" s="17"/>
      <c r="M120" s="17"/>
      <c r="N120" s="18"/>
    </row>
    <row r="121" spans="1:14" x14ac:dyDescent="0.2">
      <c r="A121" s="27" t="s">
        <v>256</v>
      </c>
      <c r="B121" s="27" t="s">
        <v>332</v>
      </c>
      <c r="C121" s="27" t="s">
        <v>346</v>
      </c>
      <c r="D121" s="27" t="s">
        <v>65</v>
      </c>
      <c r="E121" s="27" t="s">
        <v>53</v>
      </c>
      <c r="F121" s="27" t="s">
        <v>54</v>
      </c>
      <c r="G121" s="28" t="s">
        <v>264</v>
      </c>
      <c r="H121" s="17"/>
      <c r="I121" s="17"/>
      <c r="J121" s="17"/>
      <c r="K121" s="17"/>
      <c r="L121" s="17"/>
      <c r="M121" s="17"/>
      <c r="N121" s="18"/>
    </row>
    <row r="122" spans="1:14" x14ac:dyDescent="0.2">
      <c r="A122" s="24" t="s">
        <v>256</v>
      </c>
      <c r="B122" s="24" t="s">
        <v>332</v>
      </c>
      <c r="C122" s="24" t="s">
        <v>346</v>
      </c>
      <c r="D122" s="24" t="s">
        <v>65</v>
      </c>
      <c r="E122" s="24" t="s">
        <v>47</v>
      </c>
      <c r="F122" s="24" t="s">
        <v>48</v>
      </c>
      <c r="G122" s="25" t="s">
        <v>264</v>
      </c>
      <c r="H122" s="17"/>
      <c r="I122" s="17"/>
      <c r="J122" s="17"/>
      <c r="K122" s="17"/>
      <c r="L122" s="17"/>
      <c r="M122" s="17"/>
      <c r="N122" s="18"/>
    </row>
    <row r="123" spans="1:14" x14ac:dyDescent="0.2">
      <c r="A123" s="27" t="s">
        <v>256</v>
      </c>
      <c r="B123" s="27" t="s">
        <v>332</v>
      </c>
      <c r="C123" s="27" t="s">
        <v>346</v>
      </c>
      <c r="D123" s="27" t="s">
        <v>65</v>
      </c>
      <c r="E123" s="27" t="s">
        <v>59</v>
      </c>
      <c r="F123" s="27" t="s">
        <v>270</v>
      </c>
      <c r="G123" s="28" t="s">
        <v>264</v>
      </c>
      <c r="H123" s="17"/>
      <c r="I123" s="17"/>
      <c r="J123" s="17"/>
      <c r="K123" s="17"/>
      <c r="L123" s="17"/>
      <c r="M123" s="17"/>
      <c r="N123" s="18"/>
    </row>
    <row r="124" spans="1:14" x14ac:dyDescent="0.2">
      <c r="A124" s="24" t="s">
        <v>256</v>
      </c>
      <c r="B124" s="24" t="s">
        <v>332</v>
      </c>
      <c r="C124" s="24" t="s">
        <v>346</v>
      </c>
      <c r="D124" s="24" t="s">
        <v>65</v>
      </c>
      <c r="E124" s="24" t="s">
        <v>55</v>
      </c>
      <c r="F124" s="24" t="s">
        <v>56</v>
      </c>
      <c r="G124" s="25" t="s">
        <v>264</v>
      </c>
      <c r="H124" s="17"/>
      <c r="I124" s="17"/>
      <c r="J124" s="17"/>
      <c r="K124" s="17"/>
      <c r="L124" s="17"/>
      <c r="M124" s="17"/>
      <c r="N124" s="18"/>
    </row>
    <row r="125" spans="1:14" x14ac:dyDescent="0.2">
      <c r="A125" s="27" t="s">
        <v>256</v>
      </c>
      <c r="B125" s="27" t="s">
        <v>332</v>
      </c>
      <c r="C125" s="27" t="s">
        <v>346</v>
      </c>
      <c r="D125" s="27" t="s">
        <v>65</v>
      </c>
      <c r="E125" s="27" t="s">
        <v>60</v>
      </c>
      <c r="F125" s="27" t="s">
        <v>61</v>
      </c>
      <c r="G125" s="28" t="s">
        <v>264</v>
      </c>
      <c r="H125" s="17"/>
      <c r="I125" s="17"/>
      <c r="J125" s="17"/>
      <c r="K125" s="17"/>
      <c r="L125" s="17"/>
      <c r="M125" s="17"/>
      <c r="N125" s="18"/>
    </row>
    <row r="126" spans="1:14" x14ac:dyDescent="0.2">
      <c r="A126" s="24" t="s">
        <v>256</v>
      </c>
      <c r="B126" s="24" t="s">
        <v>332</v>
      </c>
      <c r="C126" s="24" t="s">
        <v>346</v>
      </c>
      <c r="D126" s="24" t="s">
        <v>65</v>
      </c>
      <c r="E126" s="24" t="s">
        <v>62</v>
      </c>
      <c r="F126" s="24" t="s">
        <v>271</v>
      </c>
      <c r="G126" s="25" t="s">
        <v>264</v>
      </c>
      <c r="H126" s="17"/>
      <c r="I126" s="17"/>
      <c r="J126" s="17"/>
      <c r="K126" s="17"/>
      <c r="L126" s="17"/>
      <c r="M126" s="17"/>
      <c r="N126" s="18"/>
    </row>
    <row r="127" spans="1:14" x14ac:dyDescent="0.2">
      <c r="A127" s="27" t="s">
        <v>256</v>
      </c>
      <c r="B127" s="27" t="s">
        <v>332</v>
      </c>
      <c r="C127" s="27" t="s">
        <v>346</v>
      </c>
      <c r="D127" s="27" t="s">
        <v>65</v>
      </c>
      <c r="E127" s="27" t="s">
        <v>49</v>
      </c>
      <c r="F127" s="27" t="s">
        <v>50</v>
      </c>
      <c r="G127" s="28" t="s">
        <v>264</v>
      </c>
      <c r="H127" s="17"/>
      <c r="I127" s="17"/>
      <c r="J127" s="17"/>
      <c r="K127" s="17"/>
      <c r="L127" s="17"/>
      <c r="M127" s="17"/>
      <c r="N127" s="18"/>
    </row>
    <row r="128" spans="1:14" x14ac:dyDescent="0.2">
      <c r="A128" s="24" t="s">
        <v>256</v>
      </c>
      <c r="B128" s="24" t="s">
        <v>332</v>
      </c>
      <c r="C128" s="24" t="s">
        <v>346</v>
      </c>
      <c r="D128" s="24" t="s">
        <v>65</v>
      </c>
      <c r="E128" s="24" t="s">
        <v>51</v>
      </c>
      <c r="F128" s="24" t="s">
        <v>52</v>
      </c>
      <c r="G128" s="25" t="s">
        <v>264</v>
      </c>
      <c r="H128" s="17"/>
      <c r="I128" s="17"/>
      <c r="J128" s="17"/>
      <c r="K128" s="17"/>
      <c r="L128" s="17"/>
      <c r="M128" s="17"/>
      <c r="N128" s="18"/>
    </row>
    <row r="129" spans="1:14" x14ac:dyDescent="0.2">
      <c r="A129" s="27" t="s">
        <v>256</v>
      </c>
      <c r="B129" s="27" t="s">
        <v>332</v>
      </c>
      <c r="C129" s="27" t="s">
        <v>346</v>
      </c>
      <c r="D129" s="27" t="s">
        <v>65</v>
      </c>
      <c r="E129" s="27" t="s">
        <v>45</v>
      </c>
      <c r="F129" s="27" t="s">
        <v>46</v>
      </c>
      <c r="G129" s="28" t="s">
        <v>264</v>
      </c>
      <c r="H129" s="17"/>
      <c r="I129" s="17"/>
      <c r="J129" s="17"/>
      <c r="K129" s="17"/>
      <c r="L129" s="17"/>
      <c r="M129" s="17"/>
      <c r="N129" s="18"/>
    </row>
    <row r="130" spans="1:14" x14ac:dyDescent="0.2">
      <c r="A130" s="24" t="s">
        <v>244</v>
      </c>
      <c r="B130" s="24" t="s">
        <v>316</v>
      </c>
      <c r="C130" s="24" t="s">
        <v>344</v>
      </c>
      <c r="D130" s="24" t="s">
        <v>32</v>
      </c>
      <c r="E130" s="24" t="s">
        <v>1</v>
      </c>
      <c r="F130" s="24" t="s">
        <v>2</v>
      </c>
      <c r="G130" s="25" t="s">
        <v>261</v>
      </c>
      <c r="H130" s="17"/>
      <c r="I130" s="17"/>
      <c r="J130" s="17"/>
      <c r="K130" s="17"/>
      <c r="L130" s="17"/>
      <c r="M130" s="17"/>
      <c r="N130" s="18"/>
    </row>
    <row r="131" spans="1:14" x14ac:dyDescent="0.2">
      <c r="A131" s="27" t="s">
        <v>244</v>
      </c>
      <c r="B131" s="27" t="s">
        <v>316</v>
      </c>
      <c r="C131" s="27" t="s">
        <v>345</v>
      </c>
      <c r="D131" s="27" t="s">
        <v>65</v>
      </c>
      <c r="E131" s="27" t="s">
        <v>63</v>
      </c>
      <c r="F131" s="27" t="s">
        <v>64</v>
      </c>
      <c r="G131" s="28" t="s">
        <v>261</v>
      </c>
      <c r="H131" s="17"/>
      <c r="I131" s="17"/>
      <c r="J131" s="17"/>
      <c r="K131" s="17"/>
      <c r="L131" s="17"/>
      <c r="M131" s="17"/>
      <c r="N131" s="18"/>
    </row>
    <row r="132" spans="1:14" x14ac:dyDescent="0.2">
      <c r="A132" s="24" t="s">
        <v>244</v>
      </c>
      <c r="B132" s="24" t="s">
        <v>316</v>
      </c>
      <c r="C132" s="24" t="s">
        <v>345</v>
      </c>
      <c r="D132" s="24" t="s">
        <v>65</v>
      </c>
      <c r="E132" s="24" t="s">
        <v>53</v>
      </c>
      <c r="F132" s="24" t="s">
        <v>54</v>
      </c>
      <c r="G132" s="25" t="s">
        <v>261</v>
      </c>
      <c r="H132" s="17"/>
      <c r="I132" s="17"/>
      <c r="J132" s="17"/>
      <c r="K132" s="17"/>
      <c r="L132" s="17"/>
      <c r="M132" s="17"/>
      <c r="N132" s="18"/>
    </row>
    <row r="133" spans="1:14" x14ac:dyDescent="0.2">
      <c r="A133" s="27" t="s">
        <v>244</v>
      </c>
      <c r="B133" s="27" t="s">
        <v>316</v>
      </c>
      <c r="C133" s="27" t="s">
        <v>345</v>
      </c>
      <c r="D133" s="27" t="s">
        <v>65</v>
      </c>
      <c r="E133" s="27" t="s">
        <v>47</v>
      </c>
      <c r="F133" s="27" t="s">
        <v>48</v>
      </c>
      <c r="G133" s="28" t="s">
        <v>261</v>
      </c>
      <c r="H133" s="17"/>
      <c r="I133" s="17"/>
      <c r="J133" s="17"/>
      <c r="K133" s="17"/>
      <c r="L133" s="17"/>
      <c r="M133" s="17"/>
      <c r="N133" s="18"/>
    </row>
    <row r="134" spans="1:14" x14ac:dyDescent="0.2">
      <c r="A134" s="24" t="s">
        <v>244</v>
      </c>
      <c r="B134" s="24" t="s">
        <v>316</v>
      </c>
      <c r="C134" s="24" t="s">
        <v>345</v>
      </c>
      <c r="D134" s="24" t="s">
        <v>65</v>
      </c>
      <c r="E134" s="24" t="s">
        <v>59</v>
      </c>
      <c r="F134" s="24" t="s">
        <v>270</v>
      </c>
      <c r="G134" s="25" t="s">
        <v>261</v>
      </c>
      <c r="H134" s="17"/>
      <c r="I134" s="17"/>
      <c r="J134" s="17"/>
      <c r="K134" s="17"/>
      <c r="L134" s="17"/>
      <c r="M134" s="17"/>
      <c r="N134" s="18"/>
    </row>
    <row r="135" spans="1:14" x14ac:dyDescent="0.2">
      <c r="A135" s="27" t="s">
        <v>244</v>
      </c>
      <c r="B135" s="27" t="s">
        <v>316</v>
      </c>
      <c r="C135" s="27" t="s">
        <v>345</v>
      </c>
      <c r="D135" s="27" t="s">
        <v>65</v>
      </c>
      <c r="E135" s="27" t="s">
        <v>55</v>
      </c>
      <c r="F135" s="27" t="s">
        <v>56</v>
      </c>
      <c r="G135" s="28" t="s">
        <v>261</v>
      </c>
      <c r="H135" s="17"/>
      <c r="I135" s="17"/>
      <c r="J135" s="17"/>
      <c r="K135" s="17"/>
      <c r="L135" s="17"/>
      <c r="M135" s="17"/>
      <c r="N135" s="18"/>
    </row>
    <row r="136" spans="1:14" x14ac:dyDescent="0.2">
      <c r="A136" s="24" t="s">
        <v>244</v>
      </c>
      <c r="B136" s="24" t="s">
        <v>316</v>
      </c>
      <c r="C136" s="24" t="s">
        <v>345</v>
      </c>
      <c r="D136" s="24" t="s">
        <v>65</v>
      </c>
      <c r="E136" s="24" t="s">
        <v>60</v>
      </c>
      <c r="F136" s="24" t="s">
        <v>61</v>
      </c>
      <c r="G136" s="25" t="s">
        <v>261</v>
      </c>
      <c r="H136" s="17"/>
      <c r="I136" s="17"/>
      <c r="J136" s="17"/>
      <c r="K136" s="17"/>
      <c r="L136" s="17"/>
      <c r="M136" s="17"/>
      <c r="N136" s="18"/>
    </row>
    <row r="137" spans="1:14" x14ac:dyDescent="0.2">
      <c r="A137" s="27" t="s">
        <v>244</v>
      </c>
      <c r="B137" s="27" t="s">
        <v>316</v>
      </c>
      <c r="C137" s="27" t="s">
        <v>345</v>
      </c>
      <c r="D137" s="27" t="s">
        <v>65</v>
      </c>
      <c r="E137" s="27" t="s">
        <v>62</v>
      </c>
      <c r="F137" s="27" t="s">
        <v>271</v>
      </c>
      <c r="G137" s="28" t="s">
        <v>261</v>
      </c>
      <c r="H137" s="17"/>
      <c r="I137" s="17"/>
      <c r="J137" s="17"/>
      <c r="K137" s="17"/>
      <c r="L137" s="17"/>
      <c r="M137" s="17"/>
      <c r="N137" s="18"/>
    </row>
    <row r="138" spans="1:14" x14ac:dyDescent="0.2">
      <c r="A138" s="24" t="s">
        <v>244</v>
      </c>
      <c r="B138" s="24" t="s">
        <v>316</v>
      </c>
      <c r="C138" s="24" t="s">
        <v>345</v>
      </c>
      <c r="D138" s="24" t="s">
        <v>65</v>
      </c>
      <c r="E138" s="24" t="s">
        <v>49</v>
      </c>
      <c r="F138" s="24" t="s">
        <v>50</v>
      </c>
      <c r="G138" s="25" t="s">
        <v>261</v>
      </c>
      <c r="H138" s="17"/>
      <c r="I138" s="17"/>
      <c r="J138" s="17"/>
      <c r="K138" s="17"/>
      <c r="L138" s="17"/>
      <c r="M138" s="17"/>
      <c r="N138" s="18"/>
    </row>
    <row r="139" spans="1:14" x14ac:dyDescent="0.2">
      <c r="A139" s="27" t="s">
        <v>244</v>
      </c>
      <c r="B139" s="27" t="s">
        <v>316</v>
      </c>
      <c r="C139" s="27" t="s">
        <v>345</v>
      </c>
      <c r="D139" s="27" t="s">
        <v>65</v>
      </c>
      <c r="E139" s="27" t="s">
        <v>45</v>
      </c>
      <c r="F139" s="27" t="s">
        <v>46</v>
      </c>
      <c r="G139" s="28" t="s">
        <v>261</v>
      </c>
      <c r="H139" s="17"/>
      <c r="I139" s="17"/>
      <c r="J139" s="17"/>
      <c r="K139" s="17"/>
      <c r="L139" s="17"/>
      <c r="M139" s="17"/>
      <c r="N139" s="18"/>
    </row>
    <row r="140" spans="1:14" x14ac:dyDescent="0.2">
      <c r="A140" s="24" t="s">
        <v>245</v>
      </c>
      <c r="B140" s="24" t="s">
        <v>317</v>
      </c>
      <c r="C140" s="24" t="s">
        <v>344</v>
      </c>
      <c r="D140" s="24" t="s">
        <v>32</v>
      </c>
      <c r="E140" s="24" t="s">
        <v>1</v>
      </c>
      <c r="F140" s="24" t="s">
        <v>2</v>
      </c>
      <c r="G140" s="25" t="s">
        <v>261</v>
      </c>
      <c r="H140" s="17"/>
      <c r="I140" s="17"/>
      <c r="J140" s="17"/>
      <c r="K140" s="17"/>
      <c r="L140" s="17"/>
      <c r="M140" s="17"/>
      <c r="N140" s="18"/>
    </row>
    <row r="141" spans="1:14" x14ac:dyDescent="0.2">
      <c r="A141" s="27" t="s">
        <v>245</v>
      </c>
      <c r="B141" s="27" t="s">
        <v>317</v>
      </c>
      <c r="C141" s="27" t="s">
        <v>345</v>
      </c>
      <c r="D141" s="27" t="s">
        <v>65</v>
      </c>
      <c r="E141" s="27" t="s">
        <v>63</v>
      </c>
      <c r="F141" s="27" t="s">
        <v>64</v>
      </c>
      <c r="G141" s="28" t="s">
        <v>261</v>
      </c>
      <c r="H141" s="17"/>
      <c r="I141" s="17"/>
      <c r="J141" s="17"/>
      <c r="K141" s="17"/>
      <c r="L141" s="17"/>
      <c r="M141" s="17"/>
      <c r="N141" s="18"/>
    </row>
    <row r="142" spans="1:14" x14ac:dyDescent="0.2">
      <c r="A142" s="24" t="s">
        <v>245</v>
      </c>
      <c r="B142" s="24" t="s">
        <v>317</v>
      </c>
      <c r="C142" s="24" t="s">
        <v>345</v>
      </c>
      <c r="D142" s="24" t="s">
        <v>65</v>
      </c>
      <c r="E142" s="24" t="s">
        <v>53</v>
      </c>
      <c r="F142" s="24" t="s">
        <v>54</v>
      </c>
      <c r="G142" s="25" t="s">
        <v>261</v>
      </c>
      <c r="H142" s="17"/>
      <c r="I142" s="17"/>
      <c r="J142" s="17"/>
      <c r="K142" s="17"/>
      <c r="L142" s="17"/>
      <c r="M142" s="17"/>
      <c r="N142" s="18"/>
    </row>
    <row r="143" spans="1:14" x14ac:dyDescent="0.2">
      <c r="A143" s="27" t="s">
        <v>245</v>
      </c>
      <c r="B143" s="27" t="s">
        <v>317</v>
      </c>
      <c r="C143" s="27" t="s">
        <v>345</v>
      </c>
      <c r="D143" s="27" t="s">
        <v>65</v>
      </c>
      <c r="E143" s="27" t="s">
        <v>47</v>
      </c>
      <c r="F143" s="27" t="s">
        <v>48</v>
      </c>
      <c r="G143" s="28" t="s">
        <v>261</v>
      </c>
      <c r="H143" s="17"/>
      <c r="I143" s="17"/>
      <c r="J143" s="17"/>
      <c r="K143" s="17"/>
      <c r="L143" s="17"/>
      <c r="M143" s="17"/>
      <c r="N143" s="18"/>
    </row>
    <row r="144" spans="1:14" x14ac:dyDescent="0.2">
      <c r="A144" s="24" t="s">
        <v>245</v>
      </c>
      <c r="B144" s="24" t="s">
        <v>317</v>
      </c>
      <c r="C144" s="24" t="s">
        <v>345</v>
      </c>
      <c r="D144" s="24" t="s">
        <v>65</v>
      </c>
      <c r="E144" s="24" t="s">
        <v>59</v>
      </c>
      <c r="F144" s="24" t="s">
        <v>270</v>
      </c>
      <c r="G144" s="25" t="s">
        <v>261</v>
      </c>
      <c r="H144" s="17"/>
      <c r="I144" s="17"/>
      <c r="J144" s="17"/>
      <c r="K144" s="17"/>
      <c r="L144" s="17"/>
      <c r="M144" s="17"/>
      <c r="N144" s="18"/>
    </row>
    <row r="145" spans="1:14" x14ac:dyDescent="0.2">
      <c r="A145" s="27" t="s">
        <v>245</v>
      </c>
      <c r="B145" s="27" t="s">
        <v>317</v>
      </c>
      <c r="C145" s="27" t="s">
        <v>345</v>
      </c>
      <c r="D145" s="27" t="s">
        <v>65</v>
      </c>
      <c r="E145" s="27" t="s">
        <v>55</v>
      </c>
      <c r="F145" s="27" t="s">
        <v>56</v>
      </c>
      <c r="G145" s="28" t="s">
        <v>261</v>
      </c>
      <c r="H145" s="17"/>
      <c r="I145" s="17"/>
      <c r="J145" s="17"/>
      <c r="K145" s="17"/>
      <c r="L145" s="17"/>
      <c r="M145" s="17"/>
      <c r="N145" s="18"/>
    </row>
    <row r="146" spans="1:14" x14ac:dyDescent="0.2">
      <c r="A146" s="24" t="s">
        <v>245</v>
      </c>
      <c r="B146" s="24" t="s">
        <v>317</v>
      </c>
      <c r="C146" s="24" t="s">
        <v>345</v>
      </c>
      <c r="D146" s="24" t="s">
        <v>65</v>
      </c>
      <c r="E146" s="24" t="s">
        <v>60</v>
      </c>
      <c r="F146" s="24" t="s">
        <v>61</v>
      </c>
      <c r="G146" s="25" t="s">
        <v>261</v>
      </c>
      <c r="H146" s="17"/>
      <c r="I146" s="17"/>
      <c r="J146" s="17"/>
      <c r="K146" s="17"/>
      <c r="L146" s="17"/>
      <c r="M146" s="17"/>
      <c r="N146" s="18"/>
    </row>
    <row r="147" spans="1:14" x14ac:dyDescent="0.2">
      <c r="A147" s="27" t="s">
        <v>245</v>
      </c>
      <c r="B147" s="27" t="s">
        <v>317</v>
      </c>
      <c r="C147" s="27" t="s">
        <v>345</v>
      </c>
      <c r="D147" s="27" t="s">
        <v>65</v>
      </c>
      <c r="E147" s="27" t="s">
        <v>62</v>
      </c>
      <c r="F147" s="27" t="s">
        <v>271</v>
      </c>
      <c r="G147" s="28" t="s">
        <v>261</v>
      </c>
      <c r="H147" s="17"/>
      <c r="I147" s="17"/>
      <c r="J147" s="17"/>
      <c r="K147" s="17"/>
      <c r="L147" s="17"/>
      <c r="M147" s="17"/>
      <c r="N147" s="18"/>
    </row>
    <row r="148" spans="1:14" x14ac:dyDescent="0.2">
      <c r="A148" s="24" t="s">
        <v>245</v>
      </c>
      <c r="B148" s="24" t="s">
        <v>317</v>
      </c>
      <c r="C148" s="24" t="s">
        <v>345</v>
      </c>
      <c r="D148" s="24" t="s">
        <v>65</v>
      </c>
      <c r="E148" s="24" t="s">
        <v>49</v>
      </c>
      <c r="F148" s="24" t="s">
        <v>50</v>
      </c>
      <c r="G148" s="25" t="s">
        <v>261</v>
      </c>
      <c r="H148" s="17"/>
      <c r="I148" s="17"/>
      <c r="J148" s="17"/>
      <c r="K148" s="17"/>
      <c r="L148" s="17"/>
      <c r="M148" s="17"/>
      <c r="N148" s="18"/>
    </row>
    <row r="149" spans="1:14" x14ac:dyDescent="0.2">
      <c r="A149" s="27" t="s">
        <v>245</v>
      </c>
      <c r="B149" s="27" t="s">
        <v>317</v>
      </c>
      <c r="C149" s="27" t="s">
        <v>345</v>
      </c>
      <c r="D149" s="27" t="s">
        <v>65</v>
      </c>
      <c r="E149" s="27" t="s">
        <v>45</v>
      </c>
      <c r="F149" s="27" t="s">
        <v>46</v>
      </c>
      <c r="G149" s="28" t="s">
        <v>261</v>
      </c>
      <c r="H149" s="17"/>
      <c r="I149" s="17"/>
      <c r="J149" s="17"/>
      <c r="K149" s="17"/>
      <c r="L149" s="17"/>
      <c r="M149" s="17"/>
      <c r="N149" s="18"/>
    </row>
    <row r="150" spans="1:14" x14ac:dyDescent="0.2">
      <c r="A150" s="24" t="s">
        <v>246</v>
      </c>
      <c r="B150" s="24" t="s">
        <v>318</v>
      </c>
      <c r="C150" s="24" t="s">
        <v>344</v>
      </c>
      <c r="D150" s="24" t="s">
        <v>32</v>
      </c>
      <c r="E150" s="24" t="s">
        <v>1</v>
      </c>
      <c r="F150" s="24" t="s">
        <v>2</v>
      </c>
      <c r="G150" s="25" t="s">
        <v>261</v>
      </c>
      <c r="H150" s="17"/>
      <c r="I150" s="17"/>
      <c r="J150" s="17"/>
      <c r="K150" s="17"/>
      <c r="L150" s="17"/>
      <c r="M150" s="17"/>
      <c r="N150" s="18"/>
    </row>
    <row r="151" spans="1:14" x14ac:dyDescent="0.2">
      <c r="A151" s="27" t="s">
        <v>246</v>
      </c>
      <c r="B151" s="27" t="s">
        <v>318</v>
      </c>
      <c r="C151" s="27" t="s">
        <v>345</v>
      </c>
      <c r="D151" s="27" t="s">
        <v>310</v>
      </c>
      <c r="E151" s="27" t="s">
        <v>90</v>
      </c>
      <c r="F151" s="27" t="s">
        <v>91</v>
      </c>
      <c r="G151" s="28"/>
      <c r="H151" s="17"/>
      <c r="I151" s="17"/>
      <c r="J151" s="17"/>
      <c r="K151" s="17"/>
      <c r="L151" s="17"/>
      <c r="M151" s="17"/>
      <c r="N151" s="18"/>
    </row>
    <row r="152" spans="1:14" x14ac:dyDescent="0.2">
      <c r="A152" s="24" t="s">
        <v>246</v>
      </c>
      <c r="B152" s="24" t="s">
        <v>318</v>
      </c>
      <c r="C152" s="24" t="s">
        <v>345</v>
      </c>
      <c r="D152" s="24" t="s">
        <v>310</v>
      </c>
      <c r="E152" s="24" t="s">
        <v>92</v>
      </c>
      <c r="F152" s="24" t="s">
        <v>279</v>
      </c>
      <c r="G152" s="25"/>
      <c r="H152" s="17"/>
      <c r="I152" s="17"/>
      <c r="J152" s="17"/>
      <c r="K152" s="17"/>
      <c r="L152" s="17"/>
      <c r="M152" s="17"/>
      <c r="N152" s="18"/>
    </row>
    <row r="153" spans="1:14" ht="22.5" x14ac:dyDescent="0.2">
      <c r="A153" s="27" t="s">
        <v>246</v>
      </c>
      <c r="B153" s="27" t="s">
        <v>318</v>
      </c>
      <c r="C153" s="27" t="s">
        <v>345</v>
      </c>
      <c r="D153" s="27" t="s">
        <v>310</v>
      </c>
      <c r="E153" s="27" t="s">
        <v>93</v>
      </c>
      <c r="F153" s="27" t="s">
        <v>296</v>
      </c>
      <c r="G153" s="28" t="s">
        <v>261</v>
      </c>
      <c r="H153" s="17"/>
      <c r="I153" s="17"/>
      <c r="J153" s="17"/>
      <c r="K153" s="17"/>
      <c r="L153" s="17"/>
      <c r="M153" s="17"/>
      <c r="N153" s="18"/>
    </row>
    <row r="154" spans="1:14" x14ac:dyDescent="0.2">
      <c r="A154" s="24" t="s">
        <v>246</v>
      </c>
      <c r="B154" s="24" t="s">
        <v>318</v>
      </c>
      <c r="C154" s="24" t="s">
        <v>346</v>
      </c>
      <c r="D154" s="24" t="s">
        <v>65</v>
      </c>
      <c r="E154" s="24" t="s">
        <v>63</v>
      </c>
      <c r="F154" s="24" t="s">
        <v>64</v>
      </c>
      <c r="G154" s="25" t="s">
        <v>261</v>
      </c>
      <c r="H154" s="17"/>
      <c r="I154" s="17"/>
      <c r="J154" s="17"/>
      <c r="K154" s="17"/>
      <c r="L154" s="17"/>
      <c r="M154" s="17"/>
      <c r="N154" s="18"/>
    </row>
    <row r="155" spans="1:14" x14ac:dyDescent="0.2">
      <c r="A155" s="27" t="s">
        <v>246</v>
      </c>
      <c r="B155" s="27" t="s">
        <v>318</v>
      </c>
      <c r="C155" s="27" t="s">
        <v>346</v>
      </c>
      <c r="D155" s="27" t="s">
        <v>65</v>
      </c>
      <c r="E155" s="27" t="s">
        <v>53</v>
      </c>
      <c r="F155" s="27" t="s">
        <v>54</v>
      </c>
      <c r="G155" s="28" t="s">
        <v>261</v>
      </c>
      <c r="H155" s="17"/>
      <c r="I155" s="17"/>
      <c r="J155" s="17"/>
      <c r="K155" s="17"/>
      <c r="L155" s="17"/>
      <c r="M155" s="17"/>
      <c r="N155" s="18"/>
    </row>
    <row r="156" spans="1:14" x14ac:dyDescent="0.2">
      <c r="A156" s="24" t="s">
        <v>246</v>
      </c>
      <c r="B156" s="24" t="s">
        <v>318</v>
      </c>
      <c r="C156" s="24" t="s">
        <v>346</v>
      </c>
      <c r="D156" s="24" t="s">
        <v>65</v>
      </c>
      <c r="E156" s="24" t="s">
        <v>47</v>
      </c>
      <c r="F156" s="24" t="s">
        <v>48</v>
      </c>
      <c r="G156" s="25" t="s">
        <v>261</v>
      </c>
      <c r="H156" s="17"/>
      <c r="I156" s="17"/>
      <c r="J156" s="17"/>
      <c r="K156" s="17"/>
      <c r="L156" s="17"/>
      <c r="M156" s="17"/>
      <c r="N156" s="18"/>
    </row>
    <row r="157" spans="1:14" x14ac:dyDescent="0.2">
      <c r="A157" s="27" t="s">
        <v>246</v>
      </c>
      <c r="B157" s="27" t="s">
        <v>318</v>
      </c>
      <c r="C157" s="27" t="s">
        <v>346</v>
      </c>
      <c r="D157" s="27" t="s">
        <v>65</v>
      </c>
      <c r="E157" s="27" t="s">
        <v>59</v>
      </c>
      <c r="F157" s="27" t="s">
        <v>270</v>
      </c>
      <c r="G157" s="28" t="s">
        <v>261</v>
      </c>
      <c r="H157" s="17"/>
      <c r="I157" s="17"/>
      <c r="J157" s="17"/>
      <c r="K157" s="17"/>
      <c r="L157" s="17"/>
      <c r="M157" s="17"/>
      <c r="N157" s="18"/>
    </row>
    <row r="158" spans="1:14" x14ac:dyDescent="0.2">
      <c r="A158" s="24" t="s">
        <v>246</v>
      </c>
      <c r="B158" s="24" t="s">
        <v>318</v>
      </c>
      <c r="C158" s="24" t="s">
        <v>346</v>
      </c>
      <c r="D158" s="24" t="s">
        <v>65</v>
      </c>
      <c r="E158" s="24" t="s">
        <v>55</v>
      </c>
      <c r="F158" s="24" t="s">
        <v>56</v>
      </c>
      <c r="G158" s="25" t="s">
        <v>261</v>
      </c>
      <c r="H158" s="17"/>
      <c r="I158" s="17"/>
      <c r="J158" s="17"/>
      <c r="K158" s="17"/>
      <c r="L158" s="17"/>
      <c r="M158" s="17"/>
      <c r="N158" s="18"/>
    </row>
    <row r="159" spans="1:14" x14ac:dyDescent="0.2">
      <c r="A159" s="27" t="s">
        <v>246</v>
      </c>
      <c r="B159" s="27" t="s">
        <v>318</v>
      </c>
      <c r="C159" s="27" t="s">
        <v>346</v>
      </c>
      <c r="D159" s="27" t="s">
        <v>65</v>
      </c>
      <c r="E159" s="27" t="s">
        <v>60</v>
      </c>
      <c r="F159" s="27" t="s">
        <v>61</v>
      </c>
      <c r="G159" s="28" t="s">
        <v>261</v>
      </c>
      <c r="H159" s="17"/>
      <c r="I159" s="17"/>
      <c r="J159" s="17"/>
      <c r="K159" s="17"/>
      <c r="L159" s="17"/>
      <c r="M159" s="17"/>
      <c r="N159" s="18"/>
    </row>
    <row r="160" spans="1:14" x14ac:dyDescent="0.2">
      <c r="A160" s="24" t="s">
        <v>246</v>
      </c>
      <c r="B160" s="24" t="s">
        <v>318</v>
      </c>
      <c r="C160" s="24" t="s">
        <v>346</v>
      </c>
      <c r="D160" s="24" t="s">
        <v>65</v>
      </c>
      <c r="E160" s="24" t="s">
        <v>62</v>
      </c>
      <c r="F160" s="24" t="s">
        <v>271</v>
      </c>
      <c r="G160" s="25" t="s">
        <v>261</v>
      </c>
      <c r="H160" s="17"/>
      <c r="I160" s="17"/>
      <c r="J160" s="17"/>
      <c r="K160" s="17"/>
      <c r="L160" s="17"/>
      <c r="M160" s="17"/>
      <c r="N160" s="18"/>
    </row>
    <row r="161" spans="1:14" x14ac:dyDescent="0.2">
      <c r="A161" s="27" t="s">
        <v>246</v>
      </c>
      <c r="B161" s="27" t="s">
        <v>318</v>
      </c>
      <c r="C161" s="27" t="s">
        <v>346</v>
      </c>
      <c r="D161" s="27" t="s">
        <v>65</v>
      </c>
      <c r="E161" s="27" t="s">
        <v>49</v>
      </c>
      <c r="F161" s="27" t="s">
        <v>50</v>
      </c>
      <c r="G161" s="28" t="s">
        <v>261</v>
      </c>
      <c r="H161" s="17"/>
      <c r="I161" s="17"/>
      <c r="J161" s="17"/>
      <c r="K161" s="17"/>
      <c r="L161" s="17"/>
      <c r="M161" s="17"/>
      <c r="N161" s="18"/>
    </row>
    <row r="162" spans="1:14" x14ac:dyDescent="0.2">
      <c r="A162" s="24" t="s">
        <v>246</v>
      </c>
      <c r="B162" s="24" t="s">
        <v>318</v>
      </c>
      <c r="C162" s="24" t="s">
        <v>346</v>
      </c>
      <c r="D162" s="24" t="s">
        <v>65</v>
      </c>
      <c r="E162" s="24" t="s">
        <v>45</v>
      </c>
      <c r="F162" s="24" t="s">
        <v>46</v>
      </c>
      <c r="G162" s="25" t="s">
        <v>261</v>
      </c>
      <c r="H162" s="17"/>
      <c r="I162" s="17"/>
      <c r="J162" s="17"/>
      <c r="K162" s="17"/>
      <c r="L162" s="17"/>
      <c r="M162" s="17"/>
      <c r="N162" s="18"/>
    </row>
    <row r="163" spans="1:14" ht="33.75" x14ac:dyDescent="0.2">
      <c r="A163" s="27" t="s">
        <v>246</v>
      </c>
      <c r="B163" s="27" t="s">
        <v>318</v>
      </c>
      <c r="C163" s="27" t="s">
        <v>347</v>
      </c>
      <c r="D163" s="27" t="s">
        <v>295</v>
      </c>
      <c r="E163" s="27" t="s">
        <v>94</v>
      </c>
      <c r="F163" s="27" t="s">
        <v>95</v>
      </c>
      <c r="G163" s="28" t="s">
        <v>261</v>
      </c>
      <c r="H163" s="17"/>
      <c r="I163" s="17"/>
      <c r="J163" s="17"/>
      <c r="K163" s="17"/>
      <c r="L163" s="17"/>
      <c r="M163" s="17"/>
      <c r="N163" s="18"/>
    </row>
    <row r="164" spans="1:14" ht="33.75" x14ac:dyDescent="0.2">
      <c r="A164" s="24" t="s">
        <v>246</v>
      </c>
      <c r="B164" s="24" t="s">
        <v>318</v>
      </c>
      <c r="C164" s="24" t="s">
        <v>347</v>
      </c>
      <c r="D164" s="24" t="s">
        <v>295</v>
      </c>
      <c r="E164" s="24" t="s">
        <v>93</v>
      </c>
      <c r="F164" s="24" t="s">
        <v>296</v>
      </c>
      <c r="G164" s="25" t="s">
        <v>261</v>
      </c>
      <c r="H164" s="17"/>
      <c r="I164" s="17"/>
      <c r="J164" s="17"/>
      <c r="K164" s="17"/>
      <c r="L164" s="17"/>
      <c r="M164" s="17"/>
      <c r="N164" s="18"/>
    </row>
    <row r="165" spans="1:14" ht="33.75" x14ac:dyDescent="0.2">
      <c r="A165" s="27" t="s">
        <v>246</v>
      </c>
      <c r="B165" s="27" t="s">
        <v>318</v>
      </c>
      <c r="C165" s="27" t="s">
        <v>347</v>
      </c>
      <c r="D165" s="27" t="s">
        <v>295</v>
      </c>
      <c r="E165" s="27" t="s">
        <v>33</v>
      </c>
      <c r="F165" s="27" t="s">
        <v>96</v>
      </c>
      <c r="G165" s="28" t="s">
        <v>261</v>
      </c>
      <c r="H165" s="17"/>
      <c r="I165" s="17"/>
      <c r="J165" s="17"/>
      <c r="K165" s="17"/>
      <c r="L165" s="17"/>
      <c r="M165" s="17"/>
      <c r="N165" s="18"/>
    </row>
    <row r="166" spans="1:14" x14ac:dyDescent="0.2">
      <c r="A166" s="24" t="s">
        <v>230</v>
      </c>
      <c r="B166" s="24" t="s">
        <v>319</v>
      </c>
      <c r="C166" s="24" t="s">
        <v>344</v>
      </c>
      <c r="D166" s="24" t="s">
        <v>32</v>
      </c>
      <c r="E166" s="24" t="s">
        <v>5</v>
      </c>
      <c r="F166" s="24" t="s">
        <v>6</v>
      </c>
      <c r="G166" s="25" t="s">
        <v>261</v>
      </c>
      <c r="H166" s="17"/>
      <c r="I166" s="17"/>
      <c r="J166" s="17"/>
      <c r="K166" s="17"/>
      <c r="L166" s="17"/>
      <c r="M166" s="17"/>
      <c r="N166" s="18"/>
    </row>
    <row r="167" spans="1:14" x14ac:dyDescent="0.2">
      <c r="A167" s="27" t="s">
        <v>230</v>
      </c>
      <c r="B167" s="27" t="s">
        <v>319</v>
      </c>
      <c r="C167" s="27" t="s">
        <v>345</v>
      </c>
      <c r="D167" s="27" t="s">
        <v>108</v>
      </c>
      <c r="E167" s="27" t="s">
        <v>98</v>
      </c>
      <c r="F167" s="27" t="s">
        <v>99</v>
      </c>
      <c r="G167" s="28" t="s">
        <v>261</v>
      </c>
      <c r="H167" s="17"/>
      <c r="I167" s="17"/>
      <c r="J167" s="17"/>
      <c r="K167" s="17"/>
      <c r="L167" s="17"/>
      <c r="M167" s="17"/>
      <c r="N167" s="18"/>
    </row>
    <row r="168" spans="1:14" ht="22.5" x14ac:dyDescent="0.2">
      <c r="A168" s="24" t="s">
        <v>230</v>
      </c>
      <c r="B168" s="24" t="s">
        <v>319</v>
      </c>
      <c r="C168" s="24" t="s">
        <v>345</v>
      </c>
      <c r="D168" s="24" t="s">
        <v>108</v>
      </c>
      <c r="E168" s="24" t="s">
        <v>106</v>
      </c>
      <c r="F168" s="24" t="s">
        <v>107</v>
      </c>
      <c r="G168" s="25" t="s">
        <v>261</v>
      </c>
      <c r="H168" s="17"/>
      <c r="I168" s="17"/>
      <c r="J168" s="17"/>
      <c r="K168" s="17"/>
      <c r="L168" s="17"/>
      <c r="M168" s="17"/>
      <c r="N168" s="18"/>
    </row>
    <row r="169" spans="1:14" x14ac:dyDescent="0.2">
      <c r="A169" s="27" t="s">
        <v>230</v>
      </c>
      <c r="B169" s="27" t="s">
        <v>319</v>
      </c>
      <c r="C169" s="27" t="s">
        <v>345</v>
      </c>
      <c r="D169" s="27" t="s">
        <v>108</v>
      </c>
      <c r="E169" s="27" t="s">
        <v>97</v>
      </c>
      <c r="F169" s="27" t="s">
        <v>97</v>
      </c>
      <c r="G169" s="28" t="s">
        <v>261</v>
      </c>
      <c r="H169" s="17"/>
      <c r="I169" s="17"/>
      <c r="J169" s="17"/>
      <c r="K169" s="17"/>
      <c r="L169" s="17"/>
      <c r="M169" s="17"/>
      <c r="N169" s="18"/>
    </row>
    <row r="170" spans="1:14" x14ac:dyDescent="0.2">
      <c r="A170" s="24" t="s">
        <v>230</v>
      </c>
      <c r="B170" s="24" t="s">
        <v>319</v>
      </c>
      <c r="C170" s="24" t="s">
        <v>346</v>
      </c>
      <c r="D170" s="24" t="s">
        <v>65</v>
      </c>
      <c r="E170" s="24" t="s">
        <v>63</v>
      </c>
      <c r="F170" s="24" t="s">
        <v>64</v>
      </c>
      <c r="G170" s="25" t="s">
        <v>261</v>
      </c>
      <c r="H170" s="17"/>
      <c r="I170" s="17"/>
      <c r="J170" s="17"/>
      <c r="K170" s="17"/>
      <c r="L170" s="17"/>
      <c r="M170" s="17"/>
      <c r="N170" s="18"/>
    </row>
    <row r="171" spans="1:14" x14ac:dyDescent="0.2">
      <c r="A171" s="27" t="s">
        <v>230</v>
      </c>
      <c r="B171" s="27" t="s">
        <v>319</v>
      </c>
      <c r="C171" s="27" t="s">
        <v>346</v>
      </c>
      <c r="D171" s="27" t="s">
        <v>65</v>
      </c>
      <c r="E171" s="27" t="s">
        <v>47</v>
      </c>
      <c r="F171" s="27" t="s">
        <v>48</v>
      </c>
      <c r="G171" s="28" t="s">
        <v>261</v>
      </c>
      <c r="H171" s="17"/>
      <c r="I171" s="17"/>
      <c r="J171" s="17"/>
      <c r="K171" s="17"/>
      <c r="L171" s="17"/>
      <c r="M171" s="17"/>
      <c r="N171" s="18"/>
    </row>
    <row r="172" spans="1:14" x14ac:dyDescent="0.2">
      <c r="A172" s="24" t="s">
        <v>230</v>
      </c>
      <c r="B172" s="24" t="s">
        <v>319</v>
      </c>
      <c r="C172" s="24" t="s">
        <v>346</v>
      </c>
      <c r="D172" s="24" t="s">
        <v>65</v>
      </c>
      <c r="E172" s="24" t="s">
        <v>59</v>
      </c>
      <c r="F172" s="24" t="s">
        <v>270</v>
      </c>
      <c r="G172" s="25" t="s">
        <v>261</v>
      </c>
      <c r="H172" s="17"/>
      <c r="I172" s="17"/>
      <c r="J172" s="17"/>
      <c r="K172" s="17"/>
      <c r="L172" s="17"/>
      <c r="M172" s="17"/>
      <c r="N172" s="18"/>
    </row>
    <row r="173" spans="1:14" x14ac:dyDescent="0.2">
      <c r="A173" s="27" t="s">
        <v>230</v>
      </c>
      <c r="B173" s="27" t="s">
        <v>319</v>
      </c>
      <c r="C173" s="27" t="s">
        <v>346</v>
      </c>
      <c r="D173" s="27" t="s">
        <v>65</v>
      </c>
      <c r="E173" s="27" t="s">
        <v>55</v>
      </c>
      <c r="F173" s="27" t="s">
        <v>56</v>
      </c>
      <c r="G173" s="28" t="s">
        <v>261</v>
      </c>
      <c r="H173" s="17"/>
      <c r="I173" s="17"/>
      <c r="J173" s="17"/>
      <c r="K173" s="17"/>
      <c r="L173" s="17"/>
      <c r="M173" s="17"/>
      <c r="N173" s="18"/>
    </row>
    <row r="174" spans="1:14" x14ac:dyDescent="0.2">
      <c r="A174" s="24" t="s">
        <v>230</v>
      </c>
      <c r="B174" s="24" t="s">
        <v>319</v>
      </c>
      <c r="C174" s="24" t="s">
        <v>346</v>
      </c>
      <c r="D174" s="24" t="s">
        <v>65</v>
      </c>
      <c r="E174" s="24" t="s">
        <v>60</v>
      </c>
      <c r="F174" s="24" t="s">
        <v>61</v>
      </c>
      <c r="G174" s="25" t="s">
        <v>261</v>
      </c>
      <c r="H174" s="17"/>
      <c r="I174" s="17"/>
      <c r="J174" s="17"/>
      <c r="K174" s="17"/>
      <c r="L174" s="17"/>
      <c r="M174" s="17"/>
      <c r="N174" s="18"/>
    </row>
    <row r="175" spans="1:14" x14ac:dyDescent="0.2">
      <c r="A175" s="27" t="s">
        <v>230</v>
      </c>
      <c r="B175" s="27" t="s">
        <v>319</v>
      </c>
      <c r="C175" s="27" t="s">
        <v>346</v>
      </c>
      <c r="D175" s="27" t="s">
        <v>65</v>
      </c>
      <c r="E175" s="27" t="s">
        <v>62</v>
      </c>
      <c r="F175" s="27" t="s">
        <v>271</v>
      </c>
      <c r="G175" s="28" t="s">
        <v>261</v>
      </c>
      <c r="H175" s="17"/>
      <c r="I175" s="17"/>
      <c r="J175" s="17"/>
      <c r="K175" s="17"/>
      <c r="L175" s="17"/>
      <c r="M175" s="17"/>
      <c r="N175" s="18"/>
    </row>
    <row r="176" spans="1:14" x14ac:dyDescent="0.2">
      <c r="A176" s="24" t="s">
        <v>230</v>
      </c>
      <c r="B176" s="24" t="s">
        <v>319</v>
      </c>
      <c r="C176" s="24" t="s">
        <v>346</v>
      </c>
      <c r="D176" s="24" t="s">
        <v>65</v>
      </c>
      <c r="E176" s="24" t="s">
        <v>49</v>
      </c>
      <c r="F176" s="24" t="s">
        <v>50</v>
      </c>
      <c r="G176" s="25" t="s">
        <v>261</v>
      </c>
      <c r="H176" s="17"/>
      <c r="I176" s="17"/>
      <c r="J176" s="17"/>
      <c r="K176" s="17"/>
      <c r="L176" s="17"/>
      <c r="M176" s="17"/>
      <c r="N176" s="18"/>
    </row>
    <row r="177" spans="1:14" x14ac:dyDescent="0.2">
      <c r="A177" s="27" t="s">
        <v>230</v>
      </c>
      <c r="B177" s="27" t="s">
        <v>319</v>
      </c>
      <c r="C177" s="27" t="s">
        <v>346</v>
      </c>
      <c r="D177" s="27" t="s">
        <v>65</v>
      </c>
      <c r="E177" s="27" t="s">
        <v>51</v>
      </c>
      <c r="F177" s="27" t="s">
        <v>52</v>
      </c>
      <c r="G177" s="28" t="s">
        <v>261</v>
      </c>
      <c r="H177" s="17"/>
      <c r="I177" s="17"/>
      <c r="J177" s="17"/>
      <c r="K177" s="17"/>
      <c r="L177" s="17"/>
      <c r="M177" s="17"/>
      <c r="N177" s="18"/>
    </row>
    <row r="178" spans="1:14" x14ac:dyDescent="0.2">
      <c r="A178" s="24" t="s">
        <v>230</v>
      </c>
      <c r="B178" s="24" t="s">
        <v>319</v>
      </c>
      <c r="C178" s="24" t="s">
        <v>346</v>
      </c>
      <c r="D178" s="24" t="s">
        <v>65</v>
      </c>
      <c r="E178" s="24" t="s">
        <v>45</v>
      </c>
      <c r="F178" s="24" t="s">
        <v>46</v>
      </c>
      <c r="G178" s="25" t="s">
        <v>261</v>
      </c>
      <c r="H178" s="17"/>
      <c r="I178" s="17"/>
      <c r="J178" s="17"/>
      <c r="K178" s="17"/>
      <c r="L178" s="17"/>
      <c r="M178" s="17"/>
      <c r="N178" s="18"/>
    </row>
    <row r="179" spans="1:14" x14ac:dyDescent="0.2">
      <c r="A179" s="27" t="s">
        <v>227</v>
      </c>
      <c r="B179" s="27" t="s">
        <v>320</v>
      </c>
      <c r="C179" s="27" t="s">
        <v>344</v>
      </c>
      <c r="D179" s="27" t="s">
        <v>32</v>
      </c>
      <c r="E179" s="27" t="s">
        <v>24</v>
      </c>
      <c r="F179" s="27" t="s">
        <v>25</v>
      </c>
      <c r="G179" s="28" t="s">
        <v>261</v>
      </c>
      <c r="H179" s="17"/>
      <c r="I179" s="17"/>
      <c r="J179" s="17"/>
      <c r="K179" s="17"/>
      <c r="L179" s="17"/>
      <c r="M179" s="17"/>
      <c r="N179" s="18"/>
    </row>
    <row r="180" spans="1:14" ht="22.5" x14ac:dyDescent="0.2">
      <c r="A180" s="24" t="s">
        <v>227</v>
      </c>
      <c r="B180" s="24" t="s">
        <v>320</v>
      </c>
      <c r="C180" s="24" t="s">
        <v>345</v>
      </c>
      <c r="D180" s="24" t="s">
        <v>108</v>
      </c>
      <c r="E180" s="24" t="s">
        <v>93</v>
      </c>
      <c r="F180" s="24" t="s">
        <v>296</v>
      </c>
      <c r="G180" s="25" t="s">
        <v>261</v>
      </c>
      <c r="H180" s="17"/>
      <c r="I180" s="17"/>
      <c r="J180" s="17"/>
      <c r="K180" s="17"/>
      <c r="L180" s="17"/>
      <c r="M180" s="17"/>
      <c r="N180" s="18"/>
    </row>
    <row r="181" spans="1:14" x14ac:dyDescent="0.2">
      <c r="A181" s="27" t="s">
        <v>227</v>
      </c>
      <c r="B181" s="27" t="s">
        <v>320</v>
      </c>
      <c r="C181" s="27" t="s">
        <v>346</v>
      </c>
      <c r="D181" s="27" t="s">
        <v>65</v>
      </c>
      <c r="E181" s="27" t="s">
        <v>63</v>
      </c>
      <c r="F181" s="27" t="s">
        <v>64</v>
      </c>
      <c r="G181" s="28" t="s">
        <v>261</v>
      </c>
      <c r="H181" s="17"/>
      <c r="I181" s="17"/>
      <c r="J181" s="17"/>
      <c r="K181" s="17"/>
      <c r="L181" s="17"/>
      <c r="M181" s="17"/>
      <c r="N181" s="18"/>
    </row>
    <row r="182" spans="1:14" x14ac:dyDescent="0.2">
      <c r="A182" s="24" t="s">
        <v>227</v>
      </c>
      <c r="B182" s="24" t="s">
        <v>320</v>
      </c>
      <c r="C182" s="24" t="s">
        <v>346</v>
      </c>
      <c r="D182" s="24" t="s">
        <v>65</v>
      </c>
      <c r="E182" s="24" t="s">
        <v>55</v>
      </c>
      <c r="F182" s="24" t="s">
        <v>56</v>
      </c>
      <c r="G182" s="25" t="s">
        <v>261</v>
      </c>
      <c r="H182" s="17"/>
      <c r="I182" s="17"/>
      <c r="J182" s="17"/>
      <c r="K182" s="17"/>
      <c r="L182" s="17"/>
      <c r="M182" s="17"/>
      <c r="N182" s="18"/>
    </row>
    <row r="183" spans="1:14" x14ac:dyDescent="0.2">
      <c r="A183" s="27" t="s">
        <v>249</v>
      </c>
      <c r="B183" s="27" t="s">
        <v>338</v>
      </c>
      <c r="C183" s="27" t="s">
        <v>344</v>
      </c>
      <c r="D183" s="27" t="s">
        <v>32</v>
      </c>
      <c r="E183" s="27" t="s">
        <v>5</v>
      </c>
      <c r="F183" s="27" t="s">
        <v>6</v>
      </c>
      <c r="G183" s="28" t="s">
        <v>264</v>
      </c>
      <c r="H183" s="17"/>
      <c r="I183" s="17"/>
      <c r="J183" s="17"/>
      <c r="K183" s="17"/>
      <c r="L183" s="17"/>
      <c r="M183" s="17"/>
      <c r="N183" s="18"/>
    </row>
    <row r="184" spans="1:14" x14ac:dyDescent="0.2">
      <c r="A184" s="24" t="s">
        <v>249</v>
      </c>
      <c r="B184" s="24" t="s">
        <v>338</v>
      </c>
      <c r="C184" s="24" t="s">
        <v>345</v>
      </c>
      <c r="D184" s="24" t="s">
        <v>309</v>
      </c>
      <c r="E184" s="24" t="s">
        <v>70</v>
      </c>
      <c r="F184" s="24" t="s">
        <v>71</v>
      </c>
      <c r="G184" s="25" t="s">
        <v>264</v>
      </c>
      <c r="H184" s="17"/>
      <c r="I184" s="17"/>
      <c r="J184" s="17"/>
      <c r="K184" s="17"/>
      <c r="L184" s="17"/>
      <c r="M184" s="17"/>
      <c r="N184" s="18"/>
    </row>
    <row r="185" spans="1:14" x14ac:dyDescent="0.2">
      <c r="A185" s="27" t="s">
        <v>249</v>
      </c>
      <c r="B185" s="27" t="s">
        <v>338</v>
      </c>
      <c r="C185" s="27" t="s">
        <v>345</v>
      </c>
      <c r="D185" s="27" t="s">
        <v>309</v>
      </c>
      <c r="E185" s="27" t="s">
        <v>73</v>
      </c>
      <c r="F185" s="27" t="s">
        <v>273</v>
      </c>
      <c r="G185" s="28" t="s">
        <v>264</v>
      </c>
      <c r="H185" s="17"/>
      <c r="I185" s="17"/>
      <c r="J185" s="17"/>
      <c r="K185" s="17"/>
      <c r="L185" s="17"/>
      <c r="M185" s="17"/>
      <c r="N185" s="18"/>
    </row>
    <row r="186" spans="1:14" x14ac:dyDescent="0.2">
      <c r="A186" s="24" t="s">
        <v>249</v>
      </c>
      <c r="B186" s="24" t="s">
        <v>338</v>
      </c>
      <c r="C186" s="24" t="s">
        <v>345</v>
      </c>
      <c r="D186" s="24" t="s">
        <v>309</v>
      </c>
      <c r="E186" s="24" t="s">
        <v>66</v>
      </c>
      <c r="F186" s="24" t="s">
        <v>67</v>
      </c>
      <c r="G186" s="25" t="s">
        <v>264</v>
      </c>
      <c r="H186" s="17"/>
      <c r="I186" s="17"/>
      <c r="J186" s="17"/>
      <c r="K186" s="17"/>
      <c r="L186" s="17"/>
      <c r="M186" s="17"/>
      <c r="N186" s="18"/>
    </row>
    <row r="187" spans="1:14" x14ac:dyDescent="0.2">
      <c r="A187" s="27" t="s">
        <v>249</v>
      </c>
      <c r="B187" s="27" t="s">
        <v>338</v>
      </c>
      <c r="C187" s="27" t="s">
        <v>345</v>
      </c>
      <c r="D187" s="27" t="s">
        <v>309</v>
      </c>
      <c r="E187" s="27" t="s">
        <v>68</v>
      </c>
      <c r="F187" s="27" t="s">
        <v>69</v>
      </c>
      <c r="G187" s="28" t="s">
        <v>264</v>
      </c>
      <c r="H187" s="17"/>
      <c r="I187" s="17"/>
      <c r="J187" s="17"/>
      <c r="K187" s="17"/>
      <c r="L187" s="17"/>
      <c r="M187" s="17"/>
      <c r="N187" s="18"/>
    </row>
    <row r="188" spans="1:14" x14ac:dyDescent="0.2">
      <c r="A188" s="24" t="s">
        <v>249</v>
      </c>
      <c r="B188" s="24" t="s">
        <v>338</v>
      </c>
      <c r="C188" s="24" t="s">
        <v>345</v>
      </c>
      <c r="D188" s="24" t="s">
        <v>309</v>
      </c>
      <c r="E188" s="24" t="s">
        <v>72</v>
      </c>
      <c r="F188" s="24" t="s">
        <v>272</v>
      </c>
      <c r="G188" s="25" t="s">
        <v>264</v>
      </c>
      <c r="H188" s="17"/>
      <c r="I188" s="17"/>
      <c r="J188" s="17"/>
      <c r="K188" s="17"/>
      <c r="L188" s="17"/>
      <c r="M188" s="17"/>
      <c r="N188" s="18"/>
    </row>
    <row r="189" spans="1:14" ht="22.5" x14ac:dyDescent="0.2">
      <c r="A189" s="27" t="s">
        <v>249</v>
      </c>
      <c r="B189" s="27" t="s">
        <v>338</v>
      </c>
      <c r="C189" s="27" t="s">
        <v>345</v>
      </c>
      <c r="D189" s="27" t="s">
        <v>309</v>
      </c>
      <c r="E189" s="27" t="s">
        <v>74</v>
      </c>
      <c r="F189" s="27" t="s">
        <v>296</v>
      </c>
      <c r="G189" s="28" t="s">
        <v>264</v>
      </c>
      <c r="H189" s="17"/>
      <c r="I189" s="17"/>
      <c r="J189" s="17"/>
      <c r="K189" s="17"/>
      <c r="L189" s="17"/>
      <c r="M189" s="17"/>
      <c r="N189" s="18"/>
    </row>
    <row r="190" spans="1:14" x14ac:dyDescent="0.2">
      <c r="A190" s="24" t="s">
        <v>249</v>
      </c>
      <c r="B190" s="24" t="s">
        <v>338</v>
      </c>
      <c r="C190" s="24" t="s">
        <v>346</v>
      </c>
      <c r="D190" s="24" t="s">
        <v>130</v>
      </c>
      <c r="E190" s="24" t="s">
        <v>129</v>
      </c>
      <c r="F190" s="24" t="s">
        <v>129</v>
      </c>
      <c r="G190" s="25" t="s">
        <v>264</v>
      </c>
      <c r="H190" s="17"/>
      <c r="I190" s="17"/>
      <c r="J190" s="17"/>
      <c r="K190" s="17"/>
      <c r="L190" s="17"/>
      <c r="M190" s="17"/>
      <c r="N190" s="18"/>
    </row>
    <row r="191" spans="1:14" x14ac:dyDescent="0.2">
      <c r="A191" s="27" t="s">
        <v>249</v>
      </c>
      <c r="B191" s="27" t="s">
        <v>338</v>
      </c>
      <c r="C191" s="27" t="s">
        <v>346</v>
      </c>
      <c r="D191" s="27" t="s">
        <v>130</v>
      </c>
      <c r="E191" s="27" t="s">
        <v>127</v>
      </c>
      <c r="F191" s="27" t="s">
        <v>128</v>
      </c>
      <c r="G191" s="28" t="s">
        <v>264</v>
      </c>
      <c r="H191" s="17"/>
      <c r="I191" s="17"/>
      <c r="J191" s="17"/>
      <c r="K191" s="17"/>
      <c r="L191" s="17"/>
      <c r="M191" s="17"/>
      <c r="N191" s="18"/>
    </row>
    <row r="192" spans="1:14" x14ac:dyDescent="0.2">
      <c r="A192" s="24" t="s">
        <v>249</v>
      </c>
      <c r="B192" s="24" t="s">
        <v>338</v>
      </c>
      <c r="C192" s="24" t="s">
        <v>347</v>
      </c>
      <c r="D192" s="24" t="s">
        <v>65</v>
      </c>
      <c r="E192" s="24" t="s">
        <v>63</v>
      </c>
      <c r="F192" s="24" t="s">
        <v>64</v>
      </c>
      <c r="G192" s="25" t="s">
        <v>264</v>
      </c>
      <c r="H192" s="17"/>
      <c r="I192" s="17"/>
      <c r="J192" s="17"/>
      <c r="K192" s="17"/>
      <c r="L192" s="17"/>
      <c r="M192" s="17"/>
      <c r="N192" s="18"/>
    </row>
    <row r="193" spans="1:14" x14ac:dyDescent="0.2">
      <c r="A193" s="27" t="s">
        <v>249</v>
      </c>
      <c r="B193" s="27" t="s">
        <v>338</v>
      </c>
      <c r="C193" s="27" t="s">
        <v>347</v>
      </c>
      <c r="D193" s="27" t="s">
        <v>65</v>
      </c>
      <c r="E193" s="27" t="s">
        <v>53</v>
      </c>
      <c r="F193" s="27" t="s">
        <v>54</v>
      </c>
      <c r="G193" s="28" t="s">
        <v>264</v>
      </c>
      <c r="H193" s="17"/>
      <c r="I193" s="17"/>
      <c r="J193" s="17"/>
      <c r="K193" s="17"/>
      <c r="L193" s="17"/>
      <c r="M193" s="17"/>
      <c r="N193" s="18"/>
    </row>
    <row r="194" spans="1:14" x14ac:dyDescent="0.2">
      <c r="A194" s="24" t="s">
        <v>249</v>
      </c>
      <c r="B194" s="24" t="s">
        <v>338</v>
      </c>
      <c r="C194" s="24" t="s">
        <v>347</v>
      </c>
      <c r="D194" s="24" t="s">
        <v>65</v>
      </c>
      <c r="E194" s="24" t="s">
        <v>47</v>
      </c>
      <c r="F194" s="24" t="s">
        <v>48</v>
      </c>
      <c r="G194" s="25" t="s">
        <v>264</v>
      </c>
      <c r="H194" s="17"/>
      <c r="I194" s="17"/>
      <c r="J194" s="17"/>
      <c r="K194" s="17"/>
      <c r="L194" s="17"/>
      <c r="M194" s="17"/>
      <c r="N194" s="18"/>
    </row>
    <row r="195" spans="1:14" x14ac:dyDescent="0.2">
      <c r="A195" s="27" t="s">
        <v>249</v>
      </c>
      <c r="B195" s="27" t="s">
        <v>338</v>
      </c>
      <c r="C195" s="27" t="s">
        <v>347</v>
      </c>
      <c r="D195" s="27" t="s">
        <v>65</v>
      </c>
      <c r="E195" s="27" t="s">
        <v>59</v>
      </c>
      <c r="F195" s="27" t="s">
        <v>270</v>
      </c>
      <c r="G195" s="28" t="s">
        <v>264</v>
      </c>
      <c r="H195" s="17"/>
      <c r="I195" s="17"/>
      <c r="J195" s="17"/>
      <c r="K195" s="17"/>
      <c r="L195" s="17"/>
      <c r="M195" s="17"/>
      <c r="N195" s="18"/>
    </row>
    <row r="196" spans="1:14" x14ac:dyDescent="0.2">
      <c r="A196" s="24" t="s">
        <v>249</v>
      </c>
      <c r="B196" s="24" t="s">
        <v>338</v>
      </c>
      <c r="C196" s="24" t="s">
        <v>347</v>
      </c>
      <c r="D196" s="24" t="s">
        <v>65</v>
      </c>
      <c r="E196" s="24" t="s">
        <v>55</v>
      </c>
      <c r="F196" s="24" t="s">
        <v>56</v>
      </c>
      <c r="G196" s="25" t="s">
        <v>264</v>
      </c>
      <c r="H196" s="17"/>
      <c r="I196" s="17"/>
      <c r="J196" s="17"/>
      <c r="K196" s="17"/>
      <c r="L196" s="17"/>
      <c r="M196" s="17"/>
      <c r="N196" s="18"/>
    </row>
    <row r="197" spans="1:14" x14ac:dyDescent="0.2">
      <c r="A197" s="27" t="s">
        <v>249</v>
      </c>
      <c r="B197" s="27" t="s">
        <v>338</v>
      </c>
      <c r="C197" s="27" t="s">
        <v>347</v>
      </c>
      <c r="D197" s="27" t="s">
        <v>65</v>
      </c>
      <c r="E197" s="27" t="s">
        <v>60</v>
      </c>
      <c r="F197" s="27" t="s">
        <v>61</v>
      </c>
      <c r="G197" s="28" t="s">
        <v>264</v>
      </c>
      <c r="H197" s="17"/>
      <c r="I197" s="17"/>
      <c r="J197" s="17"/>
      <c r="K197" s="17"/>
      <c r="L197" s="17"/>
      <c r="M197" s="17"/>
      <c r="N197" s="18"/>
    </row>
    <row r="198" spans="1:14" x14ac:dyDescent="0.2">
      <c r="A198" s="24" t="s">
        <v>249</v>
      </c>
      <c r="B198" s="24" t="s">
        <v>338</v>
      </c>
      <c r="C198" s="24" t="s">
        <v>347</v>
      </c>
      <c r="D198" s="24" t="s">
        <v>65</v>
      </c>
      <c r="E198" s="24" t="s">
        <v>62</v>
      </c>
      <c r="F198" s="24" t="s">
        <v>271</v>
      </c>
      <c r="G198" s="25" t="s">
        <v>264</v>
      </c>
      <c r="H198" s="17"/>
      <c r="I198" s="17"/>
      <c r="J198" s="17"/>
      <c r="K198" s="17"/>
      <c r="L198" s="17"/>
      <c r="M198" s="17"/>
      <c r="N198" s="18"/>
    </row>
    <row r="199" spans="1:14" x14ac:dyDescent="0.2">
      <c r="A199" s="27" t="s">
        <v>249</v>
      </c>
      <c r="B199" s="27" t="s">
        <v>338</v>
      </c>
      <c r="C199" s="27" t="s">
        <v>347</v>
      </c>
      <c r="D199" s="27" t="s">
        <v>65</v>
      </c>
      <c r="E199" s="27" t="s">
        <v>49</v>
      </c>
      <c r="F199" s="27" t="s">
        <v>50</v>
      </c>
      <c r="G199" s="28" t="s">
        <v>264</v>
      </c>
      <c r="H199" s="17"/>
      <c r="I199" s="17"/>
      <c r="J199" s="17"/>
      <c r="K199" s="17"/>
      <c r="L199" s="17"/>
      <c r="M199" s="17"/>
      <c r="N199" s="18"/>
    </row>
    <row r="200" spans="1:14" x14ac:dyDescent="0.2">
      <c r="A200" s="24" t="s">
        <v>249</v>
      </c>
      <c r="B200" s="24" t="s">
        <v>338</v>
      </c>
      <c r="C200" s="24" t="s">
        <v>347</v>
      </c>
      <c r="D200" s="24" t="s">
        <v>65</v>
      </c>
      <c r="E200" s="24" t="s">
        <v>51</v>
      </c>
      <c r="F200" s="24" t="s">
        <v>52</v>
      </c>
      <c r="G200" s="25" t="s">
        <v>264</v>
      </c>
      <c r="H200" s="17"/>
      <c r="I200" s="17"/>
      <c r="J200" s="17"/>
      <c r="K200" s="17"/>
      <c r="L200" s="17"/>
      <c r="M200" s="17"/>
      <c r="N200" s="18"/>
    </row>
    <row r="201" spans="1:14" x14ac:dyDescent="0.2">
      <c r="A201" s="27" t="s">
        <v>249</v>
      </c>
      <c r="B201" s="27" t="s">
        <v>338</v>
      </c>
      <c r="C201" s="27" t="s">
        <v>347</v>
      </c>
      <c r="D201" s="27" t="s">
        <v>65</v>
      </c>
      <c r="E201" s="27" t="s">
        <v>45</v>
      </c>
      <c r="F201" s="27" t="s">
        <v>46</v>
      </c>
      <c r="G201" s="28" t="s">
        <v>264</v>
      </c>
      <c r="H201" s="17"/>
      <c r="I201" s="17"/>
      <c r="J201" s="17"/>
      <c r="K201" s="17"/>
      <c r="L201" s="17"/>
      <c r="M201" s="17"/>
      <c r="N201" s="18"/>
    </row>
    <row r="202" spans="1:14" x14ac:dyDescent="0.2">
      <c r="A202" s="24" t="s">
        <v>257</v>
      </c>
      <c r="B202" s="24" t="s">
        <v>333</v>
      </c>
      <c r="C202" s="24" t="s">
        <v>344</v>
      </c>
      <c r="D202" s="24" t="s">
        <v>241</v>
      </c>
      <c r="E202" s="24" t="s">
        <v>41</v>
      </c>
      <c r="F202" s="24" t="s">
        <v>42</v>
      </c>
      <c r="G202" s="25" t="s">
        <v>264</v>
      </c>
      <c r="H202" s="17"/>
      <c r="I202" s="17"/>
      <c r="J202" s="17"/>
      <c r="K202" s="17"/>
      <c r="L202" s="17"/>
      <c r="M202" s="17"/>
      <c r="N202" s="18"/>
    </row>
    <row r="203" spans="1:14" x14ac:dyDescent="0.2">
      <c r="A203" s="27" t="s">
        <v>257</v>
      </c>
      <c r="B203" s="27" t="s">
        <v>333</v>
      </c>
      <c r="C203" s="27" t="s">
        <v>344</v>
      </c>
      <c r="D203" s="27" t="s">
        <v>241</v>
      </c>
      <c r="E203" s="27" t="s">
        <v>37</v>
      </c>
      <c r="F203" s="27" t="s">
        <v>38</v>
      </c>
      <c r="G203" s="28" t="s">
        <v>264</v>
      </c>
      <c r="H203" s="17"/>
      <c r="I203" s="17"/>
      <c r="J203" s="17"/>
      <c r="K203" s="17"/>
      <c r="L203" s="17"/>
      <c r="M203" s="17"/>
      <c r="N203" s="18"/>
    </row>
    <row r="204" spans="1:14" x14ac:dyDescent="0.2">
      <c r="A204" s="24" t="s">
        <v>257</v>
      </c>
      <c r="B204" s="24" t="s">
        <v>333</v>
      </c>
      <c r="C204" s="24" t="s">
        <v>344</v>
      </c>
      <c r="D204" s="24" t="s">
        <v>241</v>
      </c>
      <c r="E204" s="24" t="s">
        <v>43</v>
      </c>
      <c r="F204" s="24" t="s">
        <v>44</v>
      </c>
      <c r="G204" s="25" t="s">
        <v>264</v>
      </c>
      <c r="H204" s="17"/>
      <c r="I204" s="17"/>
      <c r="J204" s="17"/>
      <c r="K204" s="17"/>
      <c r="L204" s="17"/>
      <c r="M204" s="17"/>
      <c r="N204" s="18"/>
    </row>
    <row r="205" spans="1:14" x14ac:dyDescent="0.2">
      <c r="A205" s="27" t="s">
        <v>257</v>
      </c>
      <c r="B205" s="27" t="s">
        <v>333</v>
      </c>
      <c r="C205" s="27" t="s">
        <v>344</v>
      </c>
      <c r="D205" s="27" t="s">
        <v>241</v>
      </c>
      <c r="E205" s="27" t="s">
        <v>35</v>
      </c>
      <c r="F205" s="27" t="s">
        <v>36</v>
      </c>
      <c r="G205" s="28" t="s">
        <v>264</v>
      </c>
      <c r="H205" s="17"/>
      <c r="I205" s="17"/>
      <c r="J205" s="17"/>
      <c r="K205" s="17"/>
      <c r="L205" s="17"/>
      <c r="M205" s="17"/>
      <c r="N205" s="18"/>
    </row>
    <row r="206" spans="1:14" x14ac:dyDescent="0.2">
      <c r="A206" s="24" t="s">
        <v>257</v>
      </c>
      <c r="B206" s="24" t="s">
        <v>333</v>
      </c>
      <c r="C206" s="24" t="s">
        <v>344</v>
      </c>
      <c r="D206" s="24" t="s">
        <v>241</v>
      </c>
      <c r="E206" s="24" t="s">
        <v>39</v>
      </c>
      <c r="F206" s="24" t="s">
        <v>40</v>
      </c>
      <c r="G206" s="25" t="s">
        <v>264</v>
      </c>
      <c r="H206" s="17"/>
      <c r="I206" s="17"/>
      <c r="J206" s="17"/>
      <c r="K206" s="17"/>
      <c r="L206" s="17"/>
      <c r="M206" s="17"/>
      <c r="N206" s="18"/>
    </row>
    <row r="207" spans="1:14" x14ac:dyDescent="0.2">
      <c r="A207" s="27" t="s">
        <v>257</v>
      </c>
      <c r="B207" s="27" t="s">
        <v>333</v>
      </c>
      <c r="C207" s="27" t="s">
        <v>345</v>
      </c>
      <c r="D207" s="27" t="s">
        <v>309</v>
      </c>
      <c r="E207" s="27" t="s">
        <v>70</v>
      </c>
      <c r="F207" s="27" t="s">
        <v>71</v>
      </c>
      <c r="G207" s="28" t="s">
        <v>264</v>
      </c>
      <c r="H207" s="17"/>
      <c r="I207" s="17"/>
      <c r="J207" s="17"/>
      <c r="K207" s="17"/>
      <c r="L207" s="17"/>
      <c r="M207" s="17"/>
      <c r="N207" s="18"/>
    </row>
    <row r="208" spans="1:14" x14ac:dyDescent="0.2">
      <c r="A208" s="24" t="s">
        <v>257</v>
      </c>
      <c r="B208" s="24" t="s">
        <v>333</v>
      </c>
      <c r="C208" s="24" t="s">
        <v>345</v>
      </c>
      <c r="D208" s="24" t="s">
        <v>309</v>
      </c>
      <c r="E208" s="24" t="s">
        <v>73</v>
      </c>
      <c r="F208" s="24" t="s">
        <v>273</v>
      </c>
      <c r="G208" s="25" t="s">
        <v>264</v>
      </c>
      <c r="H208" s="17"/>
      <c r="I208" s="17"/>
      <c r="J208" s="17"/>
      <c r="K208" s="17"/>
      <c r="L208" s="17"/>
      <c r="M208" s="17"/>
      <c r="N208" s="18"/>
    </row>
    <row r="209" spans="1:14" x14ac:dyDescent="0.2">
      <c r="A209" s="27" t="s">
        <v>257</v>
      </c>
      <c r="B209" s="27" t="s">
        <v>333</v>
      </c>
      <c r="C209" s="27" t="s">
        <v>345</v>
      </c>
      <c r="D209" s="27" t="s">
        <v>309</v>
      </c>
      <c r="E209" s="27" t="s">
        <v>66</v>
      </c>
      <c r="F209" s="27" t="s">
        <v>67</v>
      </c>
      <c r="G209" s="28" t="s">
        <v>264</v>
      </c>
      <c r="H209" s="17"/>
      <c r="I209" s="17"/>
      <c r="J209" s="17"/>
      <c r="K209" s="17"/>
      <c r="L209" s="17"/>
      <c r="M209" s="17"/>
      <c r="N209" s="18"/>
    </row>
    <row r="210" spans="1:14" x14ac:dyDescent="0.2">
      <c r="A210" s="24" t="s">
        <v>257</v>
      </c>
      <c r="B210" s="24" t="s">
        <v>333</v>
      </c>
      <c r="C210" s="24" t="s">
        <v>345</v>
      </c>
      <c r="D210" s="24" t="s">
        <v>309</v>
      </c>
      <c r="E210" s="24" t="s">
        <v>68</v>
      </c>
      <c r="F210" s="24" t="s">
        <v>69</v>
      </c>
      <c r="G210" s="25" t="s">
        <v>264</v>
      </c>
      <c r="H210" s="17"/>
      <c r="I210" s="17"/>
      <c r="J210" s="17"/>
      <c r="K210" s="17"/>
      <c r="L210" s="17"/>
      <c r="M210" s="17"/>
      <c r="N210" s="18"/>
    </row>
    <row r="211" spans="1:14" x14ac:dyDescent="0.2">
      <c r="A211" s="27" t="s">
        <v>257</v>
      </c>
      <c r="B211" s="27" t="s">
        <v>333</v>
      </c>
      <c r="C211" s="27" t="s">
        <v>345</v>
      </c>
      <c r="D211" s="27" t="s">
        <v>309</v>
      </c>
      <c r="E211" s="27" t="s">
        <v>72</v>
      </c>
      <c r="F211" s="27" t="s">
        <v>272</v>
      </c>
      <c r="G211" s="28" t="s">
        <v>264</v>
      </c>
      <c r="H211" s="17"/>
      <c r="I211" s="17"/>
      <c r="J211" s="17"/>
      <c r="K211" s="17"/>
      <c r="L211" s="17"/>
      <c r="M211" s="17"/>
      <c r="N211" s="18"/>
    </row>
    <row r="212" spans="1:14" ht="22.5" x14ac:dyDescent="0.2">
      <c r="A212" s="24" t="s">
        <v>257</v>
      </c>
      <c r="B212" s="24" t="s">
        <v>333</v>
      </c>
      <c r="C212" s="24" t="s">
        <v>345</v>
      </c>
      <c r="D212" s="24" t="s">
        <v>309</v>
      </c>
      <c r="E212" s="24" t="s">
        <v>74</v>
      </c>
      <c r="F212" s="24" t="s">
        <v>296</v>
      </c>
      <c r="G212" s="25" t="s">
        <v>264</v>
      </c>
      <c r="H212" s="17"/>
      <c r="I212" s="17"/>
      <c r="J212" s="17"/>
      <c r="K212" s="17"/>
      <c r="L212" s="17"/>
      <c r="M212" s="17"/>
      <c r="N212" s="18"/>
    </row>
    <row r="213" spans="1:14" x14ac:dyDescent="0.2">
      <c r="A213" s="27" t="s">
        <v>257</v>
      </c>
      <c r="B213" s="27" t="s">
        <v>333</v>
      </c>
      <c r="C213" s="27" t="s">
        <v>346</v>
      </c>
      <c r="D213" s="27" t="s">
        <v>130</v>
      </c>
      <c r="E213" s="27" t="s">
        <v>129</v>
      </c>
      <c r="F213" s="27" t="s">
        <v>129</v>
      </c>
      <c r="G213" s="28" t="s">
        <v>264</v>
      </c>
      <c r="H213" s="17"/>
      <c r="I213" s="17"/>
      <c r="J213" s="17"/>
      <c r="K213" s="17"/>
      <c r="L213" s="17"/>
      <c r="M213" s="17"/>
      <c r="N213" s="18"/>
    </row>
    <row r="214" spans="1:14" x14ac:dyDescent="0.2">
      <c r="A214" s="24" t="s">
        <v>257</v>
      </c>
      <c r="B214" s="24" t="s">
        <v>333</v>
      </c>
      <c r="C214" s="24" t="s">
        <v>346</v>
      </c>
      <c r="D214" s="24" t="s">
        <v>130</v>
      </c>
      <c r="E214" s="24" t="s">
        <v>127</v>
      </c>
      <c r="F214" s="24" t="s">
        <v>128</v>
      </c>
      <c r="G214" s="25" t="s">
        <v>264</v>
      </c>
      <c r="H214" s="17"/>
      <c r="I214" s="17"/>
      <c r="J214" s="17"/>
      <c r="K214" s="17"/>
      <c r="L214" s="17"/>
      <c r="M214" s="17"/>
      <c r="N214" s="18"/>
    </row>
    <row r="215" spans="1:14" x14ac:dyDescent="0.2">
      <c r="A215" s="27" t="s">
        <v>257</v>
      </c>
      <c r="B215" s="27" t="s">
        <v>333</v>
      </c>
      <c r="C215" s="27" t="s">
        <v>347</v>
      </c>
      <c r="D215" s="27" t="s">
        <v>65</v>
      </c>
      <c r="E215" s="27" t="s">
        <v>63</v>
      </c>
      <c r="F215" s="27" t="s">
        <v>64</v>
      </c>
      <c r="G215" s="28" t="s">
        <v>264</v>
      </c>
      <c r="H215" s="17"/>
      <c r="I215" s="17"/>
      <c r="J215" s="17"/>
      <c r="K215" s="17"/>
      <c r="L215" s="17"/>
      <c r="M215" s="17"/>
      <c r="N215" s="18"/>
    </row>
    <row r="216" spans="1:14" x14ac:dyDescent="0.2">
      <c r="A216" s="24" t="s">
        <v>257</v>
      </c>
      <c r="B216" s="24" t="s">
        <v>333</v>
      </c>
      <c r="C216" s="24" t="s">
        <v>347</v>
      </c>
      <c r="D216" s="24" t="s">
        <v>65</v>
      </c>
      <c r="E216" s="24" t="s">
        <v>53</v>
      </c>
      <c r="F216" s="24" t="s">
        <v>54</v>
      </c>
      <c r="G216" s="25" t="s">
        <v>264</v>
      </c>
      <c r="H216" s="17"/>
      <c r="I216" s="17"/>
      <c r="J216" s="17"/>
      <c r="K216" s="17"/>
      <c r="L216" s="17"/>
      <c r="M216" s="17"/>
      <c r="N216" s="18"/>
    </row>
    <row r="217" spans="1:14" x14ac:dyDescent="0.2">
      <c r="A217" s="27" t="s">
        <v>257</v>
      </c>
      <c r="B217" s="27" t="s">
        <v>333</v>
      </c>
      <c r="C217" s="27" t="s">
        <v>347</v>
      </c>
      <c r="D217" s="27" t="s">
        <v>65</v>
      </c>
      <c r="E217" s="27" t="s">
        <v>47</v>
      </c>
      <c r="F217" s="27" t="s">
        <v>48</v>
      </c>
      <c r="G217" s="28" t="s">
        <v>264</v>
      </c>
      <c r="H217" s="17"/>
      <c r="I217" s="17"/>
      <c r="J217" s="17"/>
      <c r="K217" s="17"/>
      <c r="L217" s="17"/>
      <c r="M217" s="17"/>
      <c r="N217" s="18"/>
    </row>
    <row r="218" spans="1:14" x14ac:dyDescent="0.2">
      <c r="A218" s="24" t="s">
        <v>257</v>
      </c>
      <c r="B218" s="24" t="s">
        <v>333</v>
      </c>
      <c r="C218" s="24" t="s">
        <v>347</v>
      </c>
      <c r="D218" s="24" t="s">
        <v>65</v>
      </c>
      <c r="E218" s="24" t="s">
        <v>59</v>
      </c>
      <c r="F218" s="24" t="s">
        <v>270</v>
      </c>
      <c r="G218" s="25" t="s">
        <v>264</v>
      </c>
      <c r="H218" s="17"/>
      <c r="I218" s="17"/>
      <c r="J218" s="17"/>
      <c r="K218" s="17"/>
      <c r="L218" s="17"/>
      <c r="M218" s="17"/>
      <c r="N218" s="18"/>
    </row>
    <row r="219" spans="1:14" x14ac:dyDescent="0.2">
      <c r="A219" s="27" t="s">
        <v>257</v>
      </c>
      <c r="B219" s="27" t="s">
        <v>333</v>
      </c>
      <c r="C219" s="27" t="s">
        <v>347</v>
      </c>
      <c r="D219" s="27" t="s">
        <v>65</v>
      </c>
      <c r="E219" s="27" t="s">
        <v>55</v>
      </c>
      <c r="F219" s="27" t="s">
        <v>56</v>
      </c>
      <c r="G219" s="28" t="s">
        <v>264</v>
      </c>
      <c r="H219" s="17"/>
      <c r="I219" s="17"/>
      <c r="J219" s="17"/>
      <c r="K219" s="17"/>
      <c r="L219" s="17"/>
      <c r="M219" s="17"/>
      <c r="N219" s="18"/>
    </row>
    <row r="220" spans="1:14" x14ac:dyDescent="0.2">
      <c r="A220" s="24" t="s">
        <v>257</v>
      </c>
      <c r="B220" s="24" t="s">
        <v>333</v>
      </c>
      <c r="C220" s="24" t="s">
        <v>347</v>
      </c>
      <c r="D220" s="24" t="s">
        <v>65</v>
      </c>
      <c r="E220" s="24" t="s">
        <v>60</v>
      </c>
      <c r="F220" s="24" t="s">
        <v>61</v>
      </c>
      <c r="G220" s="25" t="s">
        <v>264</v>
      </c>
      <c r="H220" s="17"/>
      <c r="I220" s="17"/>
      <c r="J220" s="17"/>
      <c r="K220" s="17"/>
      <c r="L220" s="17"/>
      <c r="M220" s="17"/>
      <c r="N220" s="18"/>
    </row>
    <row r="221" spans="1:14" x14ac:dyDescent="0.2">
      <c r="A221" s="27" t="s">
        <v>257</v>
      </c>
      <c r="B221" s="27" t="s">
        <v>333</v>
      </c>
      <c r="C221" s="27" t="s">
        <v>347</v>
      </c>
      <c r="D221" s="27" t="s">
        <v>65</v>
      </c>
      <c r="E221" s="27" t="s">
        <v>62</v>
      </c>
      <c r="F221" s="27" t="s">
        <v>271</v>
      </c>
      <c r="G221" s="28" t="s">
        <v>264</v>
      </c>
      <c r="H221" s="17"/>
      <c r="I221" s="17"/>
      <c r="J221" s="17"/>
      <c r="K221" s="17"/>
      <c r="L221" s="17"/>
      <c r="M221" s="17"/>
      <c r="N221" s="18"/>
    </row>
    <row r="222" spans="1:14" x14ac:dyDescent="0.2">
      <c r="A222" s="24" t="s">
        <v>257</v>
      </c>
      <c r="B222" s="24" t="s">
        <v>333</v>
      </c>
      <c r="C222" s="24" t="s">
        <v>347</v>
      </c>
      <c r="D222" s="24" t="s">
        <v>65</v>
      </c>
      <c r="E222" s="24" t="s">
        <v>49</v>
      </c>
      <c r="F222" s="24" t="s">
        <v>50</v>
      </c>
      <c r="G222" s="25" t="s">
        <v>264</v>
      </c>
      <c r="H222" s="17"/>
      <c r="I222" s="17"/>
      <c r="J222" s="17"/>
      <c r="K222" s="17"/>
      <c r="L222" s="17"/>
      <c r="M222" s="17"/>
      <c r="N222" s="18"/>
    </row>
    <row r="223" spans="1:14" x14ac:dyDescent="0.2">
      <c r="A223" s="27" t="s">
        <v>257</v>
      </c>
      <c r="B223" s="27" t="s">
        <v>333</v>
      </c>
      <c r="C223" s="27" t="s">
        <v>347</v>
      </c>
      <c r="D223" s="27" t="s">
        <v>65</v>
      </c>
      <c r="E223" s="27" t="s">
        <v>51</v>
      </c>
      <c r="F223" s="27" t="s">
        <v>52</v>
      </c>
      <c r="G223" s="28" t="s">
        <v>264</v>
      </c>
      <c r="H223" s="17"/>
      <c r="I223" s="17"/>
      <c r="J223" s="17"/>
      <c r="K223" s="17"/>
      <c r="L223" s="17"/>
      <c r="M223" s="17"/>
      <c r="N223" s="18"/>
    </row>
    <row r="224" spans="1:14" x14ac:dyDescent="0.2">
      <c r="A224" s="24" t="s">
        <v>257</v>
      </c>
      <c r="B224" s="24" t="s">
        <v>333</v>
      </c>
      <c r="C224" s="24" t="s">
        <v>347</v>
      </c>
      <c r="D224" s="24" t="s">
        <v>65</v>
      </c>
      <c r="E224" s="24" t="s">
        <v>45</v>
      </c>
      <c r="F224" s="24" t="s">
        <v>46</v>
      </c>
      <c r="G224" s="25" t="s">
        <v>264</v>
      </c>
      <c r="H224" s="17"/>
      <c r="I224" s="17"/>
      <c r="J224" s="17"/>
      <c r="K224" s="17"/>
      <c r="L224" s="17"/>
      <c r="M224" s="17"/>
      <c r="N224" s="18"/>
    </row>
    <row r="225" spans="1:14" x14ac:dyDescent="0.2">
      <c r="A225" s="27" t="s">
        <v>250</v>
      </c>
      <c r="B225" s="27" t="s">
        <v>339</v>
      </c>
      <c r="C225" s="27" t="s">
        <v>344</v>
      </c>
      <c r="D225" s="27" t="s">
        <v>32</v>
      </c>
      <c r="E225" s="27" t="s">
        <v>5</v>
      </c>
      <c r="F225" s="27" t="s">
        <v>6</v>
      </c>
      <c r="G225" s="28" t="s">
        <v>264</v>
      </c>
      <c r="H225" s="17"/>
      <c r="I225" s="17"/>
      <c r="J225" s="17"/>
      <c r="K225" s="17"/>
      <c r="L225" s="17"/>
      <c r="M225" s="17"/>
      <c r="N225" s="18"/>
    </row>
    <row r="226" spans="1:14" x14ac:dyDescent="0.2">
      <c r="A226" s="24" t="s">
        <v>250</v>
      </c>
      <c r="B226" s="24" t="s">
        <v>339</v>
      </c>
      <c r="C226" s="24" t="s">
        <v>345</v>
      </c>
      <c r="D226" s="24" t="s">
        <v>309</v>
      </c>
      <c r="E226" s="24" t="s">
        <v>70</v>
      </c>
      <c r="F226" s="24" t="s">
        <v>71</v>
      </c>
      <c r="G226" s="25" t="s">
        <v>264</v>
      </c>
      <c r="H226" s="17"/>
      <c r="I226" s="17"/>
      <c r="J226" s="17"/>
      <c r="K226" s="17"/>
      <c r="L226" s="17"/>
      <c r="M226" s="17"/>
      <c r="N226" s="18"/>
    </row>
    <row r="227" spans="1:14" x14ac:dyDescent="0.2">
      <c r="A227" s="27" t="s">
        <v>250</v>
      </c>
      <c r="B227" s="27" t="s">
        <v>339</v>
      </c>
      <c r="C227" s="27" t="s">
        <v>345</v>
      </c>
      <c r="D227" s="27" t="s">
        <v>309</v>
      </c>
      <c r="E227" s="27" t="s">
        <v>73</v>
      </c>
      <c r="F227" s="27" t="s">
        <v>273</v>
      </c>
      <c r="G227" s="28" t="s">
        <v>264</v>
      </c>
      <c r="H227" s="17"/>
      <c r="I227" s="17"/>
      <c r="J227" s="17"/>
      <c r="K227" s="17"/>
      <c r="L227" s="17"/>
      <c r="M227" s="17"/>
      <c r="N227" s="18"/>
    </row>
    <row r="228" spans="1:14" x14ac:dyDescent="0.2">
      <c r="A228" s="24" t="s">
        <v>250</v>
      </c>
      <c r="B228" s="24" t="s">
        <v>339</v>
      </c>
      <c r="C228" s="24" t="s">
        <v>345</v>
      </c>
      <c r="D228" s="24" t="s">
        <v>309</v>
      </c>
      <c r="E228" s="24" t="s">
        <v>66</v>
      </c>
      <c r="F228" s="24" t="s">
        <v>67</v>
      </c>
      <c r="G228" s="25" t="s">
        <v>264</v>
      </c>
      <c r="H228" s="17"/>
      <c r="I228" s="17"/>
      <c r="J228" s="17"/>
      <c r="K228" s="17"/>
      <c r="L228" s="17"/>
      <c r="M228" s="17"/>
      <c r="N228" s="18"/>
    </row>
    <row r="229" spans="1:14" x14ac:dyDescent="0.2">
      <c r="A229" s="27" t="s">
        <v>250</v>
      </c>
      <c r="B229" s="27" t="s">
        <v>339</v>
      </c>
      <c r="C229" s="27" t="s">
        <v>345</v>
      </c>
      <c r="D229" s="27" t="s">
        <v>309</v>
      </c>
      <c r="E229" s="27" t="s">
        <v>68</v>
      </c>
      <c r="F229" s="27" t="s">
        <v>69</v>
      </c>
      <c r="G229" s="28" t="s">
        <v>264</v>
      </c>
      <c r="H229" s="17"/>
      <c r="I229" s="17"/>
      <c r="J229" s="17"/>
      <c r="K229" s="17"/>
      <c r="L229" s="17"/>
      <c r="M229" s="17"/>
      <c r="N229" s="18"/>
    </row>
    <row r="230" spans="1:14" x14ac:dyDescent="0.2">
      <c r="A230" s="24" t="s">
        <v>250</v>
      </c>
      <c r="B230" s="24" t="s">
        <v>339</v>
      </c>
      <c r="C230" s="24" t="s">
        <v>345</v>
      </c>
      <c r="D230" s="24" t="s">
        <v>309</v>
      </c>
      <c r="E230" s="24" t="s">
        <v>72</v>
      </c>
      <c r="F230" s="24" t="s">
        <v>272</v>
      </c>
      <c r="G230" s="25" t="s">
        <v>264</v>
      </c>
      <c r="H230" s="17"/>
      <c r="I230" s="17"/>
      <c r="J230" s="17"/>
      <c r="K230" s="17"/>
      <c r="L230" s="17"/>
      <c r="M230" s="17"/>
      <c r="N230" s="18"/>
    </row>
    <row r="231" spans="1:14" ht="22.5" x14ac:dyDescent="0.2">
      <c r="A231" s="27" t="s">
        <v>250</v>
      </c>
      <c r="B231" s="27" t="s">
        <v>339</v>
      </c>
      <c r="C231" s="27" t="s">
        <v>345</v>
      </c>
      <c r="D231" s="27" t="s">
        <v>309</v>
      </c>
      <c r="E231" s="27" t="s">
        <v>74</v>
      </c>
      <c r="F231" s="27" t="s">
        <v>296</v>
      </c>
      <c r="G231" s="28" t="s">
        <v>264</v>
      </c>
      <c r="H231" s="17"/>
      <c r="I231" s="17"/>
      <c r="J231" s="17"/>
      <c r="K231" s="17"/>
      <c r="L231" s="17"/>
      <c r="M231" s="17"/>
      <c r="N231" s="18"/>
    </row>
    <row r="232" spans="1:14" x14ac:dyDescent="0.2">
      <c r="A232" s="24" t="s">
        <v>250</v>
      </c>
      <c r="B232" s="24" t="s">
        <v>339</v>
      </c>
      <c r="C232" s="24" t="s">
        <v>346</v>
      </c>
      <c r="D232" s="24" t="s">
        <v>130</v>
      </c>
      <c r="E232" s="24" t="s">
        <v>129</v>
      </c>
      <c r="F232" s="24" t="s">
        <v>129</v>
      </c>
      <c r="G232" s="25" t="s">
        <v>264</v>
      </c>
      <c r="H232" s="17"/>
      <c r="I232" s="17"/>
      <c r="J232" s="17"/>
      <c r="K232" s="17"/>
      <c r="L232" s="17"/>
      <c r="M232" s="17"/>
      <c r="N232" s="18"/>
    </row>
    <row r="233" spans="1:14" x14ac:dyDescent="0.2">
      <c r="A233" s="27" t="s">
        <v>250</v>
      </c>
      <c r="B233" s="27" t="s">
        <v>339</v>
      </c>
      <c r="C233" s="27" t="s">
        <v>346</v>
      </c>
      <c r="D233" s="27" t="s">
        <v>130</v>
      </c>
      <c r="E233" s="27" t="s">
        <v>127</v>
      </c>
      <c r="F233" s="27" t="s">
        <v>128</v>
      </c>
      <c r="G233" s="28" t="s">
        <v>264</v>
      </c>
      <c r="H233" s="17"/>
      <c r="I233" s="17"/>
      <c r="J233" s="17"/>
      <c r="K233" s="17"/>
      <c r="L233" s="17"/>
      <c r="M233" s="17"/>
      <c r="N233" s="18"/>
    </row>
    <row r="234" spans="1:14" x14ac:dyDescent="0.2">
      <c r="A234" s="24" t="s">
        <v>250</v>
      </c>
      <c r="B234" s="24" t="s">
        <v>339</v>
      </c>
      <c r="C234" s="24" t="s">
        <v>347</v>
      </c>
      <c r="D234" s="24" t="s">
        <v>89</v>
      </c>
      <c r="E234" s="24" t="s">
        <v>77</v>
      </c>
      <c r="F234" s="24" t="s">
        <v>274</v>
      </c>
      <c r="G234" s="25" t="s">
        <v>260</v>
      </c>
      <c r="H234" s="17"/>
      <c r="I234" s="17"/>
      <c r="J234" s="17"/>
      <c r="K234" s="17"/>
      <c r="L234" s="17"/>
      <c r="M234" s="17"/>
      <c r="N234" s="18"/>
    </row>
    <row r="235" spans="1:14" x14ac:dyDescent="0.2">
      <c r="A235" s="27" t="s">
        <v>250</v>
      </c>
      <c r="B235" s="27" t="s">
        <v>339</v>
      </c>
      <c r="C235" s="27" t="s">
        <v>347</v>
      </c>
      <c r="D235" s="27" t="s">
        <v>89</v>
      </c>
      <c r="E235" s="27" t="s">
        <v>78</v>
      </c>
      <c r="F235" s="27" t="s">
        <v>275</v>
      </c>
      <c r="G235" s="28" t="s">
        <v>260</v>
      </c>
      <c r="H235" s="17"/>
      <c r="I235" s="17"/>
      <c r="J235" s="17"/>
      <c r="K235" s="17"/>
      <c r="L235" s="17"/>
      <c r="M235" s="17"/>
      <c r="N235" s="18"/>
    </row>
    <row r="236" spans="1:14" ht="22.5" x14ac:dyDescent="0.2">
      <c r="A236" s="24" t="s">
        <v>258</v>
      </c>
      <c r="B236" s="24" t="s">
        <v>340</v>
      </c>
      <c r="C236" s="24" t="s">
        <v>344</v>
      </c>
      <c r="D236" s="24" t="s">
        <v>241</v>
      </c>
      <c r="E236" s="24" t="s">
        <v>41</v>
      </c>
      <c r="F236" s="24" t="s">
        <v>42</v>
      </c>
      <c r="G236" s="25" t="s">
        <v>264</v>
      </c>
      <c r="H236" s="17"/>
      <c r="I236" s="17"/>
      <c r="J236" s="17"/>
      <c r="K236" s="17"/>
      <c r="L236" s="17"/>
      <c r="M236" s="17"/>
      <c r="N236" s="18"/>
    </row>
    <row r="237" spans="1:14" ht="22.5" x14ac:dyDescent="0.2">
      <c r="A237" s="27" t="s">
        <v>258</v>
      </c>
      <c r="B237" s="27" t="s">
        <v>340</v>
      </c>
      <c r="C237" s="27" t="s">
        <v>344</v>
      </c>
      <c r="D237" s="27" t="s">
        <v>241</v>
      </c>
      <c r="E237" s="27" t="s">
        <v>37</v>
      </c>
      <c r="F237" s="27" t="s">
        <v>38</v>
      </c>
      <c r="G237" s="28" t="s">
        <v>264</v>
      </c>
      <c r="H237" s="17"/>
      <c r="I237" s="17"/>
      <c r="J237" s="17"/>
      <c r="K237" s="17"/>
      <c r="L237" s="17"/>
      <c r="M237" s="17"/>
      <c r="N237" s="18"/>
    </row>
    <row r="238" spans="1:14" ht="22.5" x14ac:dyDescent="0.2">
      <c r="A238" s="24" t="s">
        <v>258</v>
      </c>
      <c r="B238" s="24" t="s">
        <v>340</v>
      </c>
      <c r="C238" s="24" t="s">
        <v>344</v>
      </c>
      <c r="D238" s="24" t="s">
        <v>241</v>
      </c>
      <c r="E238" s="24" t="s">
        <v>43</v>
      </c>
      <c r="F238" s="24" t="s">
        <v>44</v>
      </c>
      <c r="G238" s="25" t="s">
        <v>264</v>
      </c>
      <c r="H238" s="17"/>
      <c r="I238" s="17"/>
      <c r="J238" s="17"/>
      <c r="K238" s="17"/>
      <c r="L238" s="17"/>
      <c r="M238" s="17"/>
      <c r="N238" s="18"/>
    </row>
    <row r="239" spans="1:14" ht="22.5" x14ac:dyDescent="0.2">
      <c r="A239" s="27" t="s">
        <v>258</v>
      </c>
      <c r="B239" s="27" t="s">
        <v>340</v>
      </c>
      <c r="C239" s="27" t="s">
        <v>344</v>
      </c>
      <c r="D239" s="27" t="s">
        <v>241</v>
      </c>
      <c r="E239" s="27" t="s">
        <v>35</v>
      </c>
      <c r="F239" s="27" t="s">
        <v>36</v>
      </c>
      <c r="G239" s="28" t="s">
        <v>264</v>
      </c>
      <c r="H239" s="17"/>
      <c r="I239" s="17"/>
      <c r="J239" s="17"/>
      <c r="K239" s="17"/>
      <c r="L239" s="17"/>
      <c r="M239" s="17"/>
      <c r="N239" s="18"/>
    </row>
    <row r="240" spans="1:14" ht="22.5" x14ac:dyDescent="0.2">
      <c r="A240" s="24" t="s">
        <v>258</v>
      </c>
      <c r="B240" s="24" t="s">
        <v>340</v>
      </c>
      <c r="C240" s="24" t="s">
        <v>344</v>
      </c>
      <c r="D240" s="24" t="s">
        <v>241</v>
      </c>
      <c r="E240" s="24" t="s">
        <v>39</v>
      </c>
      <c r="F240" s="24" t="s">
        <v>40</v>
      </c>
      <c r="G240" s="25" t="s">
        <v>264</v>
      </c>
      <c r="H240" s="17"/>
      <c r="I240" s="17"/>
      <c r="J240" s="17"/>
      <c r="K240" s="17"/>
      <c r="L240" s="17"/>
      <c r="M240" s="17"/>
      <c r="N240" s="18"/>
    </row>
    <row r="241" spans="1:14" ht="22.5" x14ac:dyDescent="0.2">
      <c r="A241" s="27" t="s">
        <v>258</v>
      </c>
      <c r="B241" s="27" t="s">
        <v>340</v>
      </c>
      <c r="C241" s="27" t="s">
        <v>345</v>
      </c>
      <c r="D241" s="27" t="s">
        <v>309</v>
      </c>
      <c r="E241" s="27" t="s">
        <v>70</v>
      </c>
      <c r="F241" s="27" t="s">
        <v>71</v>
      </c>
      <c r="G241" s="28" t="s">
        <v>264</v>
      </c>
      <c r="H241" s="17"/>
      <c r="I241" s="17"/>
      <c r="J241" s="17"/>
      <c r="K241" s="17"/>
      <c r="L241" s="17"/>
      <c r="M241" s="17"/>
      <c r="N241" s="18"/>
    </row>
    <row r="242" spans="1:14" ht="22.5" x14ac:dyDescent="0.2">
      <c r="A242" s="24" t="s">
        <v>258</v>
      </c>
      <c r="B242" s="24" t="s">
        <v>340</v>
      </c>
      <c r="C242" s="24" t="s">
        <v>345</v>
      </c>
      <c r="D242" s="24" t="s">
        <v>309</v>
      </c>
      <c r="E242" s="24" t="s">
        <v>73</v>
      </c>
      <c r="F242" s="24" t="s">
        <v>273</v>
      </c>
      <c r="G242" s="25" t="s">
        <v>264</v>
      </c>
      <c r="H242" s="17"/>
      <c r="I242" s="17"/>
      <c r="J242" s="17"/>
      <c r="K242" s="17"/>
      <c r="L242" s="17"/>
      <c r="M242" s="17"/>
      <c r="N242" s="18"/>
    </row>
    <row r="243" spans="1:14" ht="22.5" x14ac:dyDescent="0.2">
      <c r="A243" s="27" t="s">
        <v>258</v>
      </c>
      <c r="B243" s="27" t="s">
        <v>340</v>
      </c>
      <c r="C243" s="27" t="s">
        <v>345</v>
      </c>
      <c r="D243" s="27" t="s">
        <v>309</v>
      </c>
      <c r="E243" s="27" t="s">
        <v>66</v>
      </c>
      <c r="F243" s="27" t="s">
        <v>67</v>
      </c>
      <c r="G243" s="28" t="s">
        <v>264</v>
      </c>
      <c r="H243" s="17"/>
      <c r="I243" s="17"/>
      <c r="J243" s="17"/>
      <c r="K243" s="17"/>
      <c r="L243" s="17"/>
      <c r="M243" s="17"/>
      <c r="N243" s="18"/>
    </row>
    <row r="244" spans="1:14" ht="22.5" x14ac:dyDescent="0.2">
      <c r="A244" s="24" t="s">
        <v>258</v>
      </c>
      <c r="B244" s="24" t="s">
        <v>340</v>
      </c>
      <c r="C244" s="24" t="s">
        <v>345</v>
      </c>
      <c r="D244" s="24" t="s">
        <v>309</v>
      </c>
      <c r="E244" s="24" t="s">
        <v>68</v>
      </c>
      <c r="F244" s="24" t="s">
        <v>69</v>
      </c>
      <c r="G244" s="25" t="s">
        <v>264</v>
      </c>
      <c r="H244" s="17"/>
      <c r="I244" s="17"/>
      <c r="J244" s="17"/>
      <c r="K244" s="17"/>
      <c r="L244" s="17"/>
      <c r="M244" s="17"/>
      <c r="N244" s="18"/>
    </row>
    <row r="245" spans="1:14" ht="22.5" x14ac:dyDescent="0.2">
      <c r="A245" s="27" t="s">
        <v>258</v>
      </c>
      <c r="B245" s="27" t="s">
        <v>340</v>
      </c>
      <c r="C245" s="27" t="s">
        <v>345</v>
      </c>
      <c r="D245" s="27" t="s">
        <v>309</v>
      </c>
      <c r="E245" s="27" t="s">
        <v>72</v>
      </c>
      <c r="F245" s="27" t="s">
        <v>272</v>
      </c>
      <c r="G245" s="28" t="s">
        <v>264</v>
      </c>
      <c r="H245" s="17"/>
      <c r="I245" s="17"/>
      <c r="J245" s="17"/>
      <c r="K245" s="17"/>
      <c r="L245" s="17"/>
      <c r="M245" s="17"/>
      <c r="N245" s="18"/>
    </row>
    <row r="246" spans="1:14" ht="22.5" x14ac:dyDescent="0.2">
      <c r="A246" s="24" t="s">
        <v>258</v>
      </c>
      <c r="B246" s="24" t="s">
        <v>340</v>
      </c>
      <c r="C246" s="24" t="s">
        <v>345</v>
      </c>
      <c r="D246" s="24" t="s">
        <v>309</v>
      </c>
      <c r="E246" s="24" t="s">
        <v>74</v>
      </c>
      <c r="F246" s="24" t="s">
        <v>296</v>
      </c>
      <c r="G246" s="25" t="s">
        <v>264</v>
      </c>
      <c r="H246" s="17"/>
      <c r="I246" s="17"/>
      <c r="J246" s="17"/>
      <c r="K246" s="17"/>
      <c r="L246" s="17"/>
      <c r="M246" s="17"/>
      <c r="N246" s="18"/>
    </row>
    <row r="247" spans="1:14" ht="22.5" x14ac:dyDescent="0.2">
      <c r="A247" s="27" t="s">
        <v>258</v>
      </c>
      <c r="B247" s="27" t="s">
        <v>340</v>
      </c>
      <c r="C247" s="27" t="s">
        <v>346</v>
      </c>
      <c r="D247" s="27" t="s">
        <v>130</v>
      </c>
      <c r="E247" s="27" t="s">
        <v>129</v>
      </c>
      <c r="F247" s="27" t="s">
        <v>129</v>
      </c>
      <c r="G247" s="28" t="s">
        <v>264</v>
      </c>
      <c r="H247" s="17"/>
      <c r="I247" s="17"/>
      <c r="J247" s="17"/>
      <c r="K247" s="17"/>
      <c r="L247" s="17"/>
      <c r="M247" s="17"/>
      <c r="N247" s="18"/>
    </row>
    <row r="248" spans="1:14" ht="22.5" x14ac:dyDescent="0.2">
      <c r="A248" s="24" t="s">
        <v>258</v>
      </c>
      <c r="B248" s="24" t="s">
        <v>340</v>
      </c>
      <c r="C248" s="24" t="s">
        <v>346</v>
      </c>
      <c r="D248" s="24" t="s">
        <v>130</v>
      </c>
      <c r="E248" s="24" t="s">
        <v>127</v>
      </c>
      <c r="F248" s="24" t="s">
        <v>128</v>
      </c>
      <c r="G248" s="25" t="s">
        <v>264</v>
      </c>
      <c r="H248" s="17"/>
      <c r="I248" s="17"/>
      <c r="J248" s="17"/>
      <c r="K248" s="17"/>
      <c r="L248" s="17"/>
      <c r="M248" s="17"/>
      <c r="N248" s="18"/>
    </row>
    <row r="249" spans="1:14" x14ac:dyDescent="0.2">
      <c r="A249" s="27" t="s">
        <v>231</v>
      </c>
      <c r="B249" s="27" t="s">
        <v>321</v>
      </c>
      <c r="C249" s="27" t="s">
        <v>344</v>
      </c>
      <c r="D249" s="27" t="s">
        <v>134</v>
      </c>
      <c r="E249" s="27" t="s">
        <v>132</v>
      </c>
      <c r="F249" s="27" t="s">
        <v>133</v>
      </c>
      <c r="G249" s="28" t="s">
        <v>264</v>
      </c>
      <c r="H249" s="17"/>
      <c r="I249" s="17"/>
      <c r="J249" s="17"/>
      <c r="K249" s="17"/>
      <c r="L249" s="17"/>
      <c r="M249" s="17"/>
      <c r="N249" s="18"/>
    </row>
    <row r="250" spans="1:14" x14ac:dyDescent="0.2">
      <c r="A250" s="24" t="s">
        <v>231</v>
      </c>
      <c r="B250" s="24" t="s">
        <v>321</v>
      </c>
      <c r="C250" s="24" t="s">
        <v>344</v>
      </c>
      <c r="D250" s="24" t="s">
        <v>134</v>
      </c>
      <c r="E250" s="24" t="s">
        <v>94</v>
      </c>
      <c r="F250" s="24" t="s">
        <v>131</v>
      </c>
      <c r="G250" s="25" t="s">
        <v>264</v>
      </c>
      <c r="H250" s="17"/>
      <c r="I250" s="17"/>
      <c r="J250" s="17"/>
      <c r="K250" s="17"/>
      <c r="L250" s="17"/>
      <c r="M250" s="17"/>
      <c r="N250" s="18"/>
    </row>
    <row r="251" spans="1:14" x14ac:dyDescent="0.2">
      <c r="A251" s="27" t="s">
        <v>231</v>
      </c>
      <c r="B251" s="27" t="s">
        <v>321</v>
      </c>
      <c r="C251" s="27" t="s">
        <v>345</v>
      </c>
      <c r="D251" s="27" t="s">
        <v>32</v>
      </c>
      <c r="E251" s="27" t="s">
        <v>30</v>
      </c>
      <c r="F251" s="27" t="s">
        <v>31</v>
      </c>
      <c r="G251" s="28" t="s">
        <v>260</v>
      </c>
      <c r="H251" s="17"/>
      <c r="I251" s="17"/>
      <c r="J251" s="17"/>
      <c r="K251" s="17"/>
      <c r="L251" s="17"/>
      <c r="M251" s="17"/>
      <c r="N251" s="18"/>
    </row>
    <row r="252" spans="1:14" x14ac:dyDescent="0.2">
      <c r="A252" s="24" t="s">
        <v>231</v>
      </c>
      <c r="B252" s="24" t="s">
        <v>321</v>
      </c>
      <c r="C252" s="24" t="s">
        <v>345</v>
      </c>
      <c r="D252" s="24" t="s">
        <v>32</v>
      </c>
      <c r="E252" s="24" t="s">
        <v>9</v>
      </c>
      <c r="F252" s="24" t="s">
        <v>10</v>
      </c>
      <c r="G252" s="25" t="s">
        <v>261</v>
      </c>
      <c r="H252" s="17"/>
      <c r="I252" s="17"/>
      <c r="J252" s="17"/>
      <c r="K252" s="17"/>
      <c r="L252" s="17"/>
      <c r="M252" s="17"/>
      <c r="N252" s="18"/>
    </row>
    <row r="253" spans="1:14" x14ac:dyDescent="0.2">
      <c r="A253" s="27" t="s">
        <v>231</v>
      </c>
      <c r="B253" s="27" t="s">
        <v>321</v>
      </c>
      <c r="C253" s="27" t="s">
        <v>345</v>
      </c>
      <c r="D253" s="27" t="s">
        <v>32</v>
      </c>
      <c r="E253" s="27" t="s">
        <v>9</v>
      </c>
      <c r="F253" s="27" t="s">
        <v>10</v>
      </c>
      <c r="G253" s="28" t="s">
        <v>261</v>
      </c>
      <c r="H253" s="17"/>
      <c r="I253" s="17"/>
      <c r="J253" s="17"/>
      <c r="K253" s="17"/>
      <c r="L253" s="17"/>
      <c r="M253" s="17"/>
      <c r="N253" s="18"/>
    </row>
    <row r="254" spans="1:14" x14ac:dyDescent="0.2">
      <c r="A254" s="24" t="s">
        <v>231</v>
      </c>
      <c r="B254" s="24" t="s">
        <v>321</v>
      </c>
      <c r="C254" s="24" t="s">
        <v>345</v>
      </c>
      <c r="D254" s="24" t="s">
        <v>32</v>
      </c>
      <c r="E254" s="24" t="s">
        <v>7</v>
      </c>
      <c r="F254" s="24" t="s">
        <v>8</v>
      </c>
      <c r="G254" s="25" t="s">
        <v>261</v>
      </c>
      <c r="H254" s="17"/>
      <c r="I254" s="17"/>
      <c r="J254" s="17"/>
      <c r="K254" s="17"/>
      <c r="L254" s="17"/>
      <c r="M254" s="17"/>
      <c r="N254" s="18"/>
    </row>
    <row r="255" spans="1:14" x14ac:dyDescent="0.2">
      <c r="A255" s="27" t="s">
        <v>231</v>
      </c>
      <c r="B255" s="27" t="s">
        <v>321</v>
      </c>
      <c r="C255" s="27" t="s">
        <v>345</v>
      </c>
      <c r="D255" s="27" t="s">
        <v>32</v>
      </c>
      <c r="E255" s="27" t="s">
        <v>11</v>
      </c>
      <c r="F255" s="27" t="s">
        <v>12</v>
      </c>
      <c r="G255" s="28" t="s">
        <v>261</v>
      </c>
      <c r="H255" s="17"/>
      <c r="I255" s="17"/>
      <c r="J255" s="17"/>
      <c r="K255" s="17"/>
      <c r="L255" s="17"/>
      <c r="M255" s="17"/>
      <c r="N255" s="18"/>
    </row>
    <row r="256" spans="1:14" x14ac:dyDescent="0.2">
      <c r="A256" s="24" t="s">
        <v>231</v>
      </c>
      <c r="B256" s="24" t="s">
        <v>321</v>
      </c>
      <c r="C256" s="24" t="s">
        <v>345</v>
      </c>
      <c r="D256" s="24" t="s">
        <v>32</v>
      </c>
      <c r="E256" s="24" t="s">
        <v>26</v>
      </c>
      <c r="F256" s="24" t="s">
        <v>27</v>
      </c>
      <c r="G256" s="25" t="s">
        <v>260</v>
      </c>
      <c r="H256" s="17"/>
      <c r="I256" s="17"/>
      <c r="J256" s="17"/>
      <c r="K256" s="17"/>
      <c r="L256" s="17"/>
      <c r="M256" s="17"/>
      <c r="N256" s="18"/>
    </row>
    <row r="257" spans="1:7" x14ac:dyDescent="0.2">
      <c r="A257" s="27" t="s">
        <v>231</v>
      </c>
      <c r="B257" s="27" t="s">
        <v>321</v>
      </c>
      <c r="C257" s="27" t="s">
        <v>345</v>
      </c>
      <c r="D257" s="27" t="s">
        <v>32</v>
      </c>
      <c r="E257" s="27" t="s">
        <v>13</v>
      </c>
      <c r="F257" s="27" t="s">
        <v>14</v>
      </c>
      <c r="G257" s="28" t="s">
        <v>261</v>
      </c>
    </row>
    <row r="258" spans="1:7" ht="22.5" x14ac:dyDescent="0.2">
      <c r="A258" s="24" t="s">
        <v>231</v>
      </c>
      <c r="B258" s="24" t="s">
        <v>321</v>
      </c>
      <c r="C258" s="24" t="s">
        <v>345</v>
      </c>
      <c r="D258" s="24" t="s">
        <v>32</v>
      </c>
      <c r="E258" s="24" t="s">
        <v>28</v>
      </c>
      <c r="F258" s="24" t="s">
        <v>29</v>
      </c>
      <c r="G258" s="25" t="s">
        <v>260</v>
      </c>
    </row>
    <row r="259" spans="1:7" x14ac:dyDescent="0.2">
      <c r="A259" s="27" t="s">
        <v>231</v>
      </c>
      <c r="B259" s="27" t="s">
        <v>321</v>
      </c>
      <c r="C259" s="27" t="s">
        <v>346</v>
      </c>
      <c r="D259" s="27" t="s">
        <v>239</v>
      </c>
      <c r="E259" s="27" t="s">
        <v>121</v>
      </c>
      <c r="F259" s="27" t="s">
        <v>122</v>
      </c>
      <c r="G259" s="28" t="s">
        <v>264</v>
      </c>
    </row>
    <row r="260" spans="1:7" x14ac:dyDescent="0.2">
      <c r="A260" s="24" t="s">
        <v>231</v>
      </c>
      <c r="B260" s="24" t="s">
        <v>321</v>
      </c>
      <c r="C260" s="24" t="s">
        <v>346</v>
      </c>
      <c r="D260" s="24" t="s">
        <v>239</v>
      </c>
      <c r="E260" s="24" t="s">
        <v>63</v>
      </c>
      <c r="F260" s="24" t="s">
        <v>64</v>
      </c>
      <c r="G260" s="25" t="s">
        <v>261</v>
      </c>
    </row>
    <row r="261" spans="1:7" x14ac:dyDescent="0.2">
      <c r="A261" s="27" t="s">
        <v>231</v>
      </c>
      <c r="B261" s="27" t="s">
        <v>321</v>
      </c>
      <c r="C261" s="27" t="s">
        <v>346</v>
      </c>
      <c r="D261" s="27" t="s">
        <v>239</v>
      </c>
      <c r="E261" s="27" t="s">
        <v>124</v>
      </c>
      <c r="F261" s="27" t="s">
        <v>281</v>
      </c>
      <c r="G261" s="27" t="s">
        <v>264</v>
      </c>
    </row>
    <row r="262" spans="1:7" x14ac:dyDescent="0.2">
      <c r="A262" s="24" t="s">
        <v>231</v>
      </c>
      <c r="B262" s="24" t="s">
        <v>321</v>
      </c>
      <c r="C262" s="24" t="s">
        <v>346</v>
      </c>
      <c r="D262" s="24" t="s">
        <v>239</v>
      </c>
      <c r="E262" s="24" t="s">
        <v>119</v>
      </c>
      <c r="F262" s="24" t="s">
        <v>120</v>
      </c>
      <c r="G262" s="24" t="s">
        <v>264</v>
      </c>
    </row>
    <row r="263" spans="1:7" x14ac:dyDescent="0.2">
      <c r="A263" s="27" t="s">
        <v>231</v>
      </c>
      <c r="B263" s="27" t="s">
        <v>321</v>
      </c>
      <c r="C263" s="27" t="s">
        <v>346</v>
      </c>
      <c r="D263" s="27" t="s">
        <v>239</v>
      </c>
      <c r="E263" s="27" t="s">
        <v>123</v>
      </c>
      <c r="F263" s="27" t="s">
        <v>280</v>
      </c>
      <c r="G263" s="27" t="s">
        <v>264</v>
      </c>
    </row>
    <row r="264" spans="1:7" x14ac:dyDescent="0.2">
      <c r="A264" s="24" t="s">
        <v>231</v>
      </c>
      <c r="B264" s="24" t="s">
        <v>321</v>
      </c>
      <c r="C264" s="24" t="s">
        <v>346</v>
      </c>
      <c r="D264" s="24" t="s">
        <v>239</v>
      </c>
      <c r="E264" s="24" t="s">
        <v>109</v>
      </c>
      <c r="F264" s="24" t="s">
        <v>110</v>
      </c>
      <c r="G264" s="24" t="s">
        <v>261</v>
      </c>
    </row>
    <row r="265" spans="1:7" x14ac:dyDescent="0.2">
      <c r="A265" s="27" t="s">
        <v>231</v>
      </c>
      <c r="B265" s="27" t="s">
        <v>321</v>
      </c>
      <c r="C265" s="27" t="s">
        <v>346</v>
      </c>
      <c r="D265" s="27" t="s">
        <v>239</v>
      </c>
      <c r="E265" s="27" t="s">
        <v>115</v>
      </c>
      <c r="F265" s="27" t="s">
        <v>116</v>
      </c>
      <c r="G265" s="27" t="s">
        <v>261</v>
      </c>
    </row>
    <row r="266" spans="1:7" x14ac:dyDescent="0.2">
      <c r="A266" s="24" t="s">
        <v>231</v>
      </c>
      <c r="B266" s="24" t="s">
        <v>321</v>
      </c>
      <c r="C266" s="24" t="s">
        <v>346</v>
      </c>
      <c r="D266" s="24" t="s">
        <v>239</v>
      </c>
      <c r="E266" s="24" t="s">
        <v>125</v>
      </c>
      <c r="F266" s="24" t="s">
        <v>126</v>
      </c>
      <c r="G266" s="24"/>
    </row>
    <row r="267" spans="1:7" x14ac:dyDescent="0.2">
      <c r="A267" s="27" t="s">
        <v>231</v>
      </c>
      <c r="B267" s="27" t="s">
        <v>321</v>
      </c>
      <c r="C267" s="27" t="s">
        <v>346</v>
      </c>
      <c r="D267" s="27" t="s">
        <v>239</v>
      </c>
      <c r="E267" s="27" t="s">
        <v>113</v>
      </c>
      <c r="F267" s="27" t="s">
        <v>114</v>
      </c>
      <c r="G267" s="27" t="s">
        <v>261</v>
      </c>
    </row>
    <row r="268" spans="1:7" x14ac:dyDescent="0.2">
      <c r="A268" s="24" t="s">
        <v>231</v>
      </c>
      <c r="B268" s="24" t="s">
        <v>321</v>
      </c>
      <c r="C268" s="24" t="s">
        <v>346</v>
      </c>
      <c r="D268" s="24" t="s">
        <v>239</v>
      </c>
      <c r="E268" s="24" t="s">
        <v>111</v>
      </c>
      <c r="F268" s="24" t="s">
        <v>112</v>
      </c>
      <c r="G268" s="24" t="s">
        <v>261</v>
      </c>
    </row>
    <row r="269" spans="1:7" x14ac:dyDescent="0.2">
      <c r="A269" s="27" t="s">
        <v>237</v>
      </c>
      <c r="B269" s="27" t="s">
        <v>322</v>
      </c>
      <c r="C269" s="27" t="s">
        <v>344</v>
      </c>
      <c r="D269" s="27" t="s">
        <v>32</v>
      </c>
      <c r="E269" s="27" t="s">
        <v>13</v>
      </c>
      <c r="F269" s="27" t="s">
        <v>14</v>
      </c>
      <c r="G269" s="27" t="s">
        <v>261</v>
      </c>
    </row>
    <row r="270" spans="1:7" x14ac:dyDescent="0.2">
      <c r="A270" s="24" t="s">
        <v>237</v>
      </c>
      <c r="B270" s="24" t="s">
        <v>322</v>
      </c>
      <c r="C270" s="24" t="s">
        <v>345</v>
      </c>
      <c r="D270" s="24" t="s">
        <v>239</v>
      </c>
      <c r="E270" s="24" t="s">
        <v>63</v>
      </c>
      <c r="F270" s="24" t="s">
        <v>64</v>
      </c>
      <c r="G270" s="24" t="s">
        <v>261</v>
      </c>
    </row>
    <row r="271" spans="1:7" x14ac:dyDescent="0.2">
      <c r="A271" s="27" t="s">
        <v>237</v>
      </c>
      <c r="B271" s="27" t="s">
        <v>322</v>
      </c>
      <c r="C271" s="27" t="s">
        <v>345</v>
      </c>
      <c r="D271" s="27" t="s">
        <v>239</v>
      </c>
      <c r="E271" s="27" t="s">
        <v>115</v>
      </c>
      <c r="F271" s="27" t="s">
        <v>116</v>
      </c>
      <c r="G271" s="27" t="s">
        <v>261</v>
      </c>
    </row>
    <row r="272" spans="1:7" x14ac:dyDescent="0.2">
      <c r="A272" s="24" t="s">
        <v>237</v>
      </c>
      <c r="B272" s="24" t="s">
        <v>322</v>
      </c>
      <c r="C272" s="24" t="s">
        <v>345</v>
      </c>
      <c r="D272" s="24" t="s">
        <v>239</v>
      </c>
      <c r="E272" s="24" t="s">
        <v>113</v>
      </c>
      <c r="F272" s="24" t="s">
        <v>114</v>
      </c>
      <c r="G272" s="24" t="s">
        <v>261</v>
      </c>
    </row>
    <row r="273" spans="1:7" x14ac:dyDescent="0.2">
      <c r="A273" s="27" t="s">
        <v>237</v>
      </c>
      <c r="B273" s="27" t="s">
        <v>322</v>
      </c>
      <c r="C273" s="27" t="s">
        <v>346</v>
      </c>
      <c r="D273" s="27" t="s">
        <v>177</v>
      </c>
      <c r="E273" s="27" t="s">
        <v>140</v>
      </c>
      <c r="F273" s="27" t="s">
        <v>141</v>
      </c>
      <c r="G273" s="27" t="s">
        <v>261</v>
      </c>
    </row>
    <row r="274" spans="1:7" x14ac:dyDescent="0.2">
      <c r="A274" s="24" t="s">
        <v>237</v>
      </c>
      <c r="B274" s="24" t="s">
        <v>322</v>
      </c>
      <c r="C274" s="24" t="s">
        <v>346</v>
      </c>
      <c r="D274" s="24" t="s">
        <v>177</v>
      </c>
      <c r="E274" s="24" t="s">
        <v>142</v>
      </c>
      <c r="F274" s="24" t="s">
        <v>143</v>
      </c>
      <c r="G274" s="24" t="s">
        <v>261</v>
      </c>
    </row>
    <row r="275" spans="1:7" ht="45" x14ac:dyDescent="0.2">
      <c r="A275" s="27" t="s">
        <v>237</v>
      </c>
      <c r="B275" s="27" t="s">
        <v>322</v>
      </c>
      <c r="C275" s="27" t="s">
        <v>347</v>
      </c>
      <c r="D275" s="27" t="s">
        <v>240</v>
      </c>
      <c r="E275" s="27" t="s">
        <v>100</v>
      </c>
      <c r="F275" s="27" t="s">
        <v>64</v>
      </c>
      <c r="G275" s="27" t="s">
        <v>260</v>
      </c>
    </row>
    <row r="276" spans="1:7" ht="45" x14ac:dyDescent="0.2">
      <c r="A276" s="24" t="s">
        <v>237</v>
      </c>
      <c r="B276" s="24" t="s">
        <v>322</v>
      </c>
      <c r="C276" s="24" t="s">
        <v>347</v>
      </c>
      <c r="D276" s="24" t="s">
        <v>240</v>
      </c>
      <c r="E276" s="24" t="s">
        <v>218</v>
      </c>
      <c r="F276" s="24" t="s">
        <v>219</v>
      </c>
      <c r="G276" s="24" t="s">
        <v>260</v>
      </c>
    </row>
    <row r="277" spans="1:7" ht="45" x14ac:dyDescent="0.2">
      <c r="A277" s="27" t="s">
        <v>237</v>
      </c>
      <c r="B277" s="27" t="s">
        <v>322</v>
      </c>
      <c r="C277" s="27" t="s">
        <v>347</v>
      </c>
      <c r="D277" s="27" t="s">
        <v>240</v>
      </c>
      <c r="E277" s="27" t="s">
        <v>150</v>
      </c>
      <c r="F277" s="27" t="s">
        <v>151</v>
      </c>
      <c r="G277" s="27" t="s">
        <v>260</v>
      </c>
    </row>
    <row r="278" spans="1:7" ht="45" x14ac:dyDescent="0.2">
      <c r="A278" s="24" t="s">
        <v>237</v>
      </c>
      <c r="B278" s="24" t="s">
        <v>322</v>
      </c>
      <c r="C278" s="24" t="s">
        <v>347</v>
      </c>
      <c r="D278" s="24" t="s">
        <v>240</v>
      </c>
      <c r="E278" s="24" t="s">
        <v>93</v>
      </c>
      <c r="F278" s="24" t="s">
        <v>296</v>
      </c>
      <c r="G278" s="24" t="s">
        <v>260</v>
      </c>
    </row>
    <row r="279" spans="1:7" x14ac:dyDescent="0.2">
      <c r="A279" s="27" t="s">
        <v>225</v>
      </c>
      <c r="B279" s="27" t="s">
        <v>323</v>
      </c>
      <c r="C279" s="27" t="s">
        <v>311</v>
      </c>
      <c r="D279" s="27" t="s">
        <v>32</v>
      </c>
      <c r="E279" s="27" t="s">
        <v>15</v>
      </c>
      <c r="F279" s="27" t="s">
        <v>219</v>
      </c>
      <c r="G279" s="27" t="s">
        <v>248</v>
      </c>
    </row>
    <row r="280" spans="1:7" x14ac:dyDescent="0.2">
      <c r="A280" s="24" t="s">
        <v>225</v>
      </c>
      <c r="B280" s="24" t="s">
        <v>323</v>
      </c>
      <c r="C280" s="24" t="s">
        <v>311</v>
      </c>
      <c r="D280" s="24" t="s">
        <v>32</v>
      </c>
      <c r="E280" s="24" t="s">
        <v>13</v>
      </c>
      <c r="F280" s="24" t="s">
        <v>14</v>
      </c>
      <c r="G280" s="24" t="s">
        <v>248</v>
      </c>
    </row>
    <row r="281" spans="1:7" x14ac:dyDescent="0.2">
      <c r="A281" s="27" t="s">
        <v>225</v>
      </c>
      <c r="B281" s="27" t="s">
        <v>323</v>
      </c>
      <c r="C281" s="27" t="s">
        <v>344</v>
      </c>
      <c r="D281" s="27" t="s">
        <v>187</v>
      </c>
      <c r="E281" s="27" t="s">
        <v>135</v>
      </c>
      <c r="F281" s="27" t="s">
        <v>186</v>
      </c>
      <c r="G281" s="27" t="s">
        <v>262</v>
      </c>
    </row>
    <row r="282" spans="1:7" ht="45" x14ac:dyDescent="0.2">
      <c r="A282" s="24" t="s">
        <v>225</v>
      </c>
      <c r="B282" s="24" t="s">
        <v>323</v>
      </c>
      <c r="C282" s="24" t="s">
        <v>344</v>
      </c>
      <c r="D282" s="24" t="s">
        <v>187</v>
      </c>
      <c r="E282" s="24" t="s">
        <v>185</v>
      </c>
      <c r="F282" s="24" t="s">
        <v>307</v>
      </c>
      <c r="G282" s="24" t="s">
        <v>268</v>
      </c>
    </row>
    <row r="283" spans="1:7" ht="45" x14ac:dyDescent="0.2">
      <c r="A283" s="27" t="s">
        <v>225</v>
      </c>
      <c r="B283" s="27" t="s">
        <v>323</v>
      </c>
      <c r="C283" s="27" t="s">
        <v>344</v>
      </c>
      <c r="D283" s="27" t="s">
        <v>187</v>
      </c>
      <c r="E283" s="27" t="s">
        <v>184</v>
      </c>
      <c r="F283" s="27" t="s">
        <v>306</v>
      </c>
      <c r="G283" s="27" t="s">
        <v>268</v>
      </c>
    </row>
    <row r="284" spans="1:7" x14ac:dyDescent="0.2">
      <c r="A284" s="24" t="s">
        <v>225</v>
      </c>
      <c r="B284" s="24" t="s">
        <v>323</v>
      </c>
      <c r="C284" s="24" t="s">
        <v>344</v>
      </c>
      <c r="D284" s="24" t="s">
        <v>187</v>
      </c>
      <c r="E284" s="24" t="s">
        <v>178</v>
      </c>
      <c r="F284" s="24" t="s">
        <v>178</v>
      </c>
      <c r="G284" s="24" t="s">
        <v>262</v>
      </c>
    </row>
    <row r="285" spans="1:7" ht="45" x14ac:dyDescent="0.2">
      <c r="A285" s="27" t="s">
        <v>225</v>
      </c>
      <c r="B285" s="27" t="s">
        <v>323</v>
      </c>
      <c r="C285" s="27" t="s">
        <v>344</v>
      </c>
      <c r="D285" s="27" t="s">
        <v>187</v>
      </c>
      <c r="E285" s="27" t="s">
        <v>179</v>
      </c>
      <c r="F285" s="27" t="s">
        <v>308</v>
      </c>
      <c r="G285" s="27" t="s">
        <v>262</v>
      </c>
    </row>
    <row r="286" spans="1:7" ht="45" x14ac:dyDescent="0.2">
      <c r="A286" s="24" t="s">
        <v>225</v>
      </c>
      <c r="B286" s="24" t="s">
        <v>323</v>
      </c>
      <c r="C286" s="24" t="s">
        <v>344</v>
      </c>
      <c r="D286" s="24" t="s">
        <v>187</v>
      </c>
      <c r="E286" s="24" t="s">
        <v>183</v>
      </c>
      <c r="F286" s="24" t="s">
        <v>305</v>
      </c>
      <c r="G286" s="24" t="s">
        <v>268</v>
      </c>
    </row>
    <row r="287" spans="1:7" x14ac:dyDescent="0.2">
      <c r="A287" s="27" t="s">
        <v>251</v>
      </c>
      <c r="B287" s="27" t="s">
        <v>341</v>
      </c>
      <c r="C287" s="27" t="s">
        <v>344</v>
      </c>
      <c r="D287" s="27" t="s">
        <v>32</v>
      </c>
      <c r="E287" s="27" t="s">
        <v>30</v>
      </c>
      <c r="F287" s="27" t="s">
        <v>31</v>
      </c>
      <c r="G287" s="27" t="s">
        <v>260</v>
      </c>
    </row>
    <row r="288" spans="1:7" x14ac:dyDescent="0.2">
      <c r="A288" s="24" t="s">
        <v>251</v>
      </c>
      <c r="B288" s="24" t="s">
        <v>341</v>
      </c>
      <c r="C288" s="24" t="s">
        <v>344</v>
      </c>
      <c r="D288" s="24" t="s">
        <v>32</v>
      </c>
      <c r="E288" s="24" t="s">
        <v>9</v>
      </c>
      <c r="F288" s="24" t="s">
        <v>10</v>
      </c>
      <c r="G288" s="24" t="s">
        <v>262</v>
      </c>
    </row>
    <row r="289" spans="1:7" x14ac:dyDescent="0.2">
      <c r="A289" s="27" t="s">
        <v>251</v>
      </c>
      <c r="B289" s="27" t="s">
        <v>341</v>
      </c>
      <c r="C289" s="27" t="s">
        <v>344</v>
      </c>
      <c r="D289" s="27" t="s">
        <v>32</v>
      </c>
      <c r="E289" s="27" t="s">
        <v>7</v>
      </c>
      <c r="F289" s="27" t="s">
        <v>8</v>
      </c>
      <c r="G289" s="27" t="s">
        <v>262</v>
      </c>
    </row>
    <row r="290" spans="1:7" x14ac:dyDescent="0.2">
      <c r="A290" s="24" t="s">
        <v>251</v>
      </c>
      <c r="B290" s="24" t="s">
        <v>341</v>
      </c>
      <c r="C290" s="24" t="s">
        <v>344</v>
      </c>
      <c r="D290" s="24" t="s">
        <v>32</v>
      </c>
      <c r="E290" s="24" t="s">
        <v>11</v>
      </c>
      <c r="F290" s="24" t="s">
        <v>12</v>
      </c>
      <c r="G290" s="24" t="s">
        <v>262</v>
      </c>
    </row>
    <row r="291" spans="1:7" x14ac:dyDescent="0.2">
      <c r="A291" s="27" t="s">
        <v>251</v>
      </c>
      <c r="B291" s="27" t="s">
        <v>341</v>
      </c>
      <c r="C291" s="27" t="s">
        <v>344</v>
      </c>
      <c r="D291" s="27" t="s">
        <v>32</v>
      </c>
      <c r="E291" s="27" t="s">
        <v>26</v>
      </c>
      <c r="F291" s="27" t="s">
        <v>27</v>
      </c>
      <c r="G291" s="27" t="s">
        <v>260</v>
      </c>
    </row>
    <row r="292" spans="1:7" x14ac:dyDescent="0.2">
      <c r="A292" s="24" t="s">
        <v>251</v>
      </c>
      <c r="B292" s="24" t="s">
        <v>341</v>
      </c>
      <c r="C292" s="24" t="s">
        <v>344</v>
      </c>
      <c r="D292" s="24" t="s">
        <v>32</v>
      </c>
      <c r="E292" s="24" t="s">
        <v>13</v>
      </c>
      <c r="F292" s="24" t="s">
        <v>14</v>
      </c>
      <c r="G292" s="24" t="s">
        <v>262</v>
      </c>
    </row>
    <row r="293" spans="1:7" ht="22.5" x14ac:dyDescent="0.2">
      <c r="A293" s="27" t="s">
        <v>251</v>
      </c>
      <c r="B293" s="27" t="s">
        <v>341</v>
      </c>
      <c r="C293" s="27" t="s">
        <v>344</v>
      </c>
      <c r="D293" s="27" t="s">
        <v>32</v>
      </c>
      <c r="E293" s="27" t="s">
        <v>28</v>
      </c>
      <c r="F293" s="27" t="s">
        <v>29</v>
      </c>
      <c r="G293" s="27" t="s">
        <v>260</v>
      </c>
    </row>
    <row r="294" spans="1:7" x14ac:dyDescent="0.2">
      <c r="A294" s="24" t="s">
        <v>251</v>
      </c>
      <c r="B294" s="24" t="s">
        <v>341</v>
      </c>
      <c r="C294" s="24" t="s">
        <v>345</v>
      </c>
      <c r="D294" s="24" t="s">
        <v>239</v>
      </c>
      <c r="E294" s="24" t="s">
        <v>121</v>
      </c>
      <c r="F294" s="24" t="s">
        <v>122</v>
      </c>
      <c r="G294" s="24" t="s">
        <v>264</v>
      </c>
    </row>
    <row r="295" spans="1:7" x14ac:dyDescent="0.2">
      <c r="A295" s="27" t="s">
        <v>251</v>
      </c>
      <c r="B295" s="27" t="s">
        <v>341</v>
      </c>
      <c r="C295" s="27" t="s">
        <v>345</v>
      </c>
      <c r="D295" s="27" t="s">
        <v>239</v>
      </c>
      <c r="E295" s="27" t="s">
        <v>63</v>
      </c>
      <c r="F295" s="27" t="s">
        <v>64</v>
      </c>
      <c r="G295" s="27" t="s">
        <v>262</v>
      </c>
    </row>
    <row r="296" spans="1:7" x14ac:dyDescent="0.2">
      <c r="A296" s="24" t="s">
        <v>251</v>
      </c>
      <c r="B296" s="24" t="s">
        <v>341</v>
      </c>
      <c r="C296" s="24" t="s">
        <v>345</v>
      </c>
      <c r="D296" s="24" t="s">
        <v>239</v>
      </c>
      <c r="E296" s="24" t="s">
        <v>124</v>
      </c>
      <c r="F296" s="24" t="s">
        <v>281</v>
      </c>
      <c r="G296" s="24" t="s">
        <v>264</v>
      </c>
    </row>
    <row r="297" spans="1:7" x14ac:dyDescent="0.2">
      <c r="A297" s="27" t="s">
        <v>251</v>
      </c>
      <c r="B297" s="27" t="s">
        <v>341</v>
      </c>
      <c r="C297" s="27" t="s">
        <v>345</v>
      </c>
      <c r="D297" s="27" t="s">
        <v>239</v>
      </c>
      <c r="E297" s="27" t="s">
        <v>119</v>
      </c>
      <c r="F297" s="27" t="s">
        <v>120</v>
      </c>
      <c r="G297" s="27" t="s">
        <v>264</v>
      </c>
    </row>
    <row r="298" spans="1:7" x14ac:dyDescent="0.2">
      <c r="A298" s="24" t="s">
        <v>251</v>
      </c>
      <c r="B298" s="24" t="s">
        <v>341</v>
      </c>
      <c r="C298" s="24" t="s">
        <v>345</v>
      </c>
      <c r="D298" s="24" t="s">
        <v>239</v>
      </c>
      <c r="E298" s="24" t="s">
        <v>123</v>
      </c>
      <c r="F298" s="24" t="s">
        <v>280</v>
      </c>
      <c r="G298" s="24" t="s">
        <v>264</v>
      </c>
    </row>
    <row r="299" spans="1:7" x14ac:dyDescent="0.2">
      <c r="A299" s="27" t="s">
        <v>251</v>
      </c>
      <c r="B299" s="27" t="s">
        <v>341</v>
      </c>
      <c r="C299" s="27" t="s">
        <v>345</v>
      </c>
      <c r="D299" s="27" t="s">
        <v>239</v>
      </c>
      <c r="E299" s="27" t="s">
        <v>109</v>
      </c>
      <c r="F299" s="27" t="s">
        <v>110</v>
      </c>
      <c r="G299" s="27" t="s">
        <v>262</v>
      </c>
    </row>
    <row r="300" spans="1:7" x14ac:dyDescent="0.2">
      <c r="A300" s="24" t="s">
        <v>251</v>
      </c>
      <c r="B300" s="24" t="s">
        <v>341</v>
      </c>
      <c r="C300" s="24" t="s">
        <v>345</v>
      </c>
      <c r="D300" s="24" t="s">
        <v>239</v>
      </c>
      <c r="E300" s="24" t="s">
        <v>115</v>
      </c>
      <c r="F300" s="24" t="s">
        <v>116</v>
      </c>
      <c r="G300" s="24" t="s">
        <v>262</v>
      </c>
    </row>
    <row r="301" spans="1:7" x14ac:dyDescent="0.2">
      <c r="A301" s="27" t="s">
        <v>251</v>
      </c>
      <c r="B301" s="27" t="s">
        <v>341</v>
      </c>
      <c r="C301" s="27" t="s">
        <v>345</v>
      </c>
      <c r="D301" s="27" t="s">
        <v>239</v>
      </c>
      <c r="E301" s="27" t="s">
        <v>125</v>
      </c>
      <c r="F301" s="27" t="s">
        <v>126</v>
      </c>
      <c r="G301" s="27" t="s">
        <v>260</v>
      </c>
    </row>
    <row r="302" spans="1:7" x14ac:dyDescent="0.2">
      <c r="A302" s="24" t="s">
        <v>251</v>
      </c>
      <c r="B302" s="24" t="s">
        <v>341</v>
      </c>
      <c r="C302" s="24" t="s">
        <v>345</v>
      </c>
      <c r="D302" s="24" t="s">
        <v>239</v>
      </c>
      <c r="E302" s="24" t="s">
        <v>113</v>
      </c>
      <c r="F302" s="24" t="s">
        <v>114</v>
      </c>
      <c r="G302" s="24" t="s">
        <v>262</v>
      </c>
    </row>
    <row r="303" spans="1:7" x14ac:dyDescent="0.2">
      <c r="A303" s="27" t="s">
        <v>251</v>
      </c>
      <c r="B303" s="27" t="s">
        <v>341</v>
      </c>
      <c r="C303" s="27" t="s">
        <v>345</v>
      </c>
      <c r="D303" s="27" t="s">
        <v>239</v>
      </c>
      <c r="E303" s="27" t="s">
        <v>111</v>
      </c>
      <c r="F303" s="27" t="s">
        <v>112</v>
      </c>
      <c r="G303" s="27" t="s">
        <v>262</v>
      </c>
    </row>
    <row r="304" spans="1:7" x14ac:dyDescent="0.2">
      <c r="A304" s="24" t="s">
        <v>251</v>
      </c>
      <c r="B304" s="24" t="s">
        <v>341</v>
      </c>
      <c r="C304" s="24" t="s">
        <v>346</v>
      </c>
      <c r="D304" s="24" t="s">
        <v>177</v>
      </c>
      <c r="E304" s="24" t="s">
        <v>155</v>
      </c>
      <c r="F304" s="24" t="s">
        <v>156</v>
      </c>
      <c r="G304" s="24" t="s">
        <v>260</v>
      </c>
    </row>
    <row r="305" spans="1:7" x14ac:dyDescent="0.2">
      <c r="A305" s="27" t="s">
        <v>251</v>
      </c>
      <c r="B305" s="27" t="s">
        <v>341</v>
      </c>
      <c r="C305" s="27" t="s">
        <v>346</v>
      </c>
      <c r="D305" s="27" t="s">
        <v>177</v>
      </c>
      <c r="E305" s="27" t="s">
        <v>135</v>
      </c>
      <c r="F305" s="27" t="s">
        <v>135</v>
      </c>
      <c r="G305" s="27" t="s">
        <v>262</v>
      </c>
    </row>
    <row r="306" spans="1:7" x14ac:dyDescent="0.2">
      <c r="A306" s="24" t="s">
        <v>251</v>
      </c>
      <c r="B306" s="24" t="s">
        <v>341</v>
      </c>
      <c r="C306" s="24" t="s">
        <v>346</v>
      </c>
      <c r="D306" s="24" t="s">
        <v>177</v>
      </c>
      <c r="E306" s="24" t="s">
        <v>100</v>
      </c>
      <c r="F306" s="24" t="s">
        <v>64</v>
      </c>
      <c r="G306" s="24" t="s">
        <v>262</v>
      </c>
    </row>
    <row r="307" spans="1:7" ht="56.25" x14ac:dyDescent="0.2">
      <c r="A307" s="27" t="s">
        <v>251</v>
      </c>
      <c r="B307" s="27" t="s">
        <v>341</v>
      </c>
      <c r="C307" s="27" t="s">
        <v>346</v>
      </c>
      <c r="D307" s="27" t="s">
        <v>177</v>
      </c>
      <c r="E307" s="27" t="s">
        <v>150</v>
      </c>
      <c r="F307" s="27" t="s">
        <v>302</v>
      </c>
      <c r="G307" s="27" t="s">
        <v>304</v>
      </c>
    </row>
    <row r="308" spans="1:7" x14ac:dyDescent="0.2">
      <c r="A308" s="24" t="s">
        <v>251</v>
      </c>
      <c r="B308" s="24" t="s">
        <v>341</v>
      </c>
      <c r="C308" s="24" t="s">
        <v>346</v>
      </c>
      <c r="D308" s="24" t="s">
        <v>177</v>
      </c>
      <c r="E308" s="24" t="s">
        <v>138</v>
      </c>
      <c r="F308" s="24" t="s">
        <v>139</v>
      </c>
      <c r="G308" s="24" t="s">
        <v>262</v>
      </c>
    </row>
    <row r="309" spans="1:7" x14ac:dyDescent="0.2">
      <c r="A309" s="27" t="s">
        <v>251</v>
      </c>
      <c r="B309" s="27" t="s">
        <v>341</v>
      </c>
      <c r="C309" s="27" t="s">
        <v>346</v>
      </c>
      <c r="D309" s="27" t="s">
        <v>177</v>
      </c>
      <c r="E309" s="27" t="s">
        <v>157</v>
      </c>
      <c r="F309" s="27" t="s">
        <v>158</v>
      </c>
      <c r="G309" s="27" t="s">
        <v>260</v>
      </c>
    </row>
    <row r="310" spans="1:7" x14ac:dyDescent="0.2">
      <c r="A310" s="24" t="s">
        <v>251</v>
      </c>
      <c r="B310" s="24" t="s">
        <v>341</v>
      </c>
      <c r="C310" s="24" t="s">
        <v>346</v>
      </c>
      <c r="D310" s="24" t="s">
        <v>177</v>
      </c>
      <c r="E310" s="24" t="s">
        <v>136</v>
      </c>
      <c r="F310" s="24" t="s">
        <v>137</v>
      </c>
      <c r="G310" s="24" t="s">
        <v>262</v>
      </c>
    </row>
    <row r="311" spans="1:7" ht="67.5" x14ac:dyDescent="0.2">
      <c r="A311" s="27" t="s">
        <v>251</v>
      </c>
      <c r="B311" s="27" t="s">
        <v>341</v>
      </c>
      <c r="C311" s="27" t="s">
        <v>346</v>
      </c>
      <c r="D311" s="27" t="s">
        <v>177</v>
      </c>
      <c r="E311" s="27" t="s">
        <v>152</v>
      </c>
      <c r="F311" s="27" t="s">
        <v>303</v>
      </c>
      <c r="G311" s="27" t="s">
        <v>304</v>
      </c>
    </row>
    <row r="312" spans="1:7" x14ac:dyDescent="0.2">
      <c r="A312" s="24" t="s">
        <v>251</v>
      </c>
      <c r="B312" s="24" t="s">
        <v>341</v>
      </c>
      <c r="C312" s="24" t="s">
        <v>347</v>
      </c>
      <c r="D312" s="24" t="s">
        <v>187</v>
      </c>
      <c r="E312" s="24" t="s">
        <v>135</v>
      </c>
      <c r="F312" s="24" t="s">
        <v>186</v>
      </c>
      <c r="G312" s="24" t="s">
        <v>262</v>
      </c>
    </row>
    <row r="313" spans="1:7" x14ac:dyDescent="0.2">
      <c r="A313" s="27" t="s">
        <v>251</v>
      </c>
      <c r="B313" s="27" t="s">
        <v>341</v>
      </c>
      <c r="C313" s="27" t="s">
        <v>347</v>
      </c>
      <c r="D313" s="27" t="s">
        <v>187</v>
      </c>
      <c r="E313" s="27" t="s">
        <v>100</v>
      </c>
      <c r="F313" s="27" t="s">
        <v>64</v>
      </c>
      <c r="G313" s="27" t="s">
        <v>262</v>
      </c>
    </row>
    <row r="314" spans="1:7" x14ac:dyDescent="0.2">
      <c r="A314" s="24" t="s">
        <v>251</v>
      </c>
      <c r="B314" s="24" t="s">
        <v>341</v>
      </c>
      <c r="C314" s="24" t="s">
        <v>347</v>
      </c>
      <c r="D314" s="24" t="s">
        <v>187</v>
      </c>
      <c r="E314" s="24" t="s">
        <v>180</v>
      </c>
      <c r="F314" s="24" t="s">
        <v>293</v>
      </c>
      <c r="G314" s="24" t="s">
        <v>262</v>
      </c>
    </row>
    <row r="315" spans="1:7" x14ac:dyDescent="0.2">
      <c r="A315" s="27" t="s">
        <v>251</v>
      </c>
      <c r="B315" s="27" t="s">
        <v>341</v>
      </c>
      <c r="C315" s="27" t="s">
        <v>347</v>
      </c>
      <c r="D315" s="27" t="s">
        <v>187</v>
      </c>
      <c r="E315" s="27" t="s">
        <v>181</v>
      </c>
      <c r="F315" s="27" t="s">
        <v>182</v>
      </c>
      <c r="G315" s="27" t="s">
        <v>262</v>
      </c>
    </row>
    <row r="316" spans="1:7" ht="22.5" x14ac:dyDescent="0.2">
      <c r="A316" s="24" t="s">
        <v>251</v>
      </c>
      <c r="B316" s="24" t="s">
        <v>341</v>
      </c>
      <c r="C316" s="24" t="s">
        <v>347</v>
      </c>
      <c r="D316" s="24" t="s">
        <v>187</v>
      </c>
      <c r="E316" s="24" t="s">
        <v>93</v>
      </c>
      <c r="F316" s="24" t="s">
        <v>301</v>
      </c>
      <c r="G316" s="24" t="s">
        <v>261</v>
      </c>
    </row>
    <row r="317" spans="1:7" x14ac:dyDescent="0.2">
      <c r="A317" s="27" t="s">
        <v>251</v>
      </c>
      <c r="B317" s="27" t="s">
        <v>341</v>
      </c>
      <c r="C317" s="27" t="s">
        <v>347</v>
      </c>
      <c r="D317" s="27" t="s">
        <v>187</v>
      </c>
      <c r="E317" s="27" t="s">
        <v>178</v>
      </c>
      <c r="F317" s="27" t="s">
        <v>178</v>
      </c>
      <c r="G317" s="27" t="s">
        <v>262</v>
      </c>
    </row>
    <row r="318" spans="1:7" x14ac:dyDescent="0.2">
      <c r="A318" s="24" t="s">
        <v>251</v>
      </c>
      <c r="B318" s="24" t="s">
        <v>341</v>
      </c>
      <c r="C318" s="24" t="s">
        <v>348</v>
      </c>
      <c r="D318" s="24" t="s">
        <v>200</v>
      </c>
      <c r="E318" s="24" t="s">
        <v>100</v>
      </c>
      <c r="F318" s="24" t="s">
        <v>64</v>
      </c>
      <c r="G318" s="24" t="s">
        <v>267</v>
      </c>
    </row>
    <row r="319" spans="1:7" x14ac:dyDescent="0.2">
      <c r="A319" s="27" t="s">
        <v>251</v>
      </c>
      <c r="B319" s="27" t="s">
        <v>341</v>
      </c>
      <c r="C319" s="27" t="s">
        <v>348</v>
      </c>
      <c r="D319" s="27" t="s">
        <v>200</v>
      </c>
      <c r="E319" s="27" t="s">
        <v>190</v>
      </c>
      <c r="F319" s="27" t="s">
        <v>191</v>
      </c>
      <c r="G319" s="27" t="s">
        <v>262</v>
      </c>
    </row>
    <row r="320" spans="1:7" x14ac:dyDescent="0.2">
      <c r="A320" s="24" t="s">
        <v>251</v>
      </c>
      <c r="B320" s="24" t="s">
        <v>341</v>
      </c>
      <c r="C320" s="24" t="s">
        <v>348</v>
      </c>
      <c r="D320" s="24" t="s">
        <v>200</v>
      </c>
      <c r="E320" s="24" t="s">
        <v>188</v>
      </c>
      <c r="F320" s="24" t="s">
        <v>189</v>
      </c>
      <c r="G320" s="24" t="s">
        <v>262</v>
      </c>
    </row>
    <row r="321" spans="1:14" ht="22.5" x14ac:dyDescent="0.2">
      <c r="A321" s="27" t="s">
        <v>251</v>
      </c>
      <c r="B321" s="27" t="s">
        <v>341</v>
      </c>
      <c r="C321" s="27" t="s">
        <v>348</v>
      </c>
      <c r="D321" s="27" t="s">
        <v>200</v>
      </c>
      <c r="E321" s="27" t="s">
        <v>93</v>
      </c>
      <c r="F321" s="27" t="s">
        <v>296</v>
      </c>
      <c r="G321" s="27" t="s">
        <v>262</v>
      </c>
    </row>
    <row r="322" spans="1:14" x14ac:dyDescent="0.2">
      <c r="A322" s="24" t="s">
        <v>251</v>
      </c>
      <c r="B322" s="24" t="s">
        <v>341</v>
      </c>
      <c r="C322" s="24" t="s">
        <v>348</v>
      </c>
      <c r="D322" s="24" t="s">
        <v>200</v>
      </c>
      <c r="E322" s="24" t="s">
        <v>192</v>
      </c>
      <c r="F322" s="24" t="s">
        <v>193</v>
      </c>
      <c r="G322" s="24" t="s">
        <v>262</v>
      </c>
    </row>
    <row r="323" spans="1:14" x14ac:dyDescent="0.2">
      <c r="A323" s="27" t="s">
        <v>251</v>
      </c>
      <c r="B323" s="27" t="s">
        <v>341</v>
      </c>
      <c r="C323" s="27" t="s">
        <v>348</v>
      </c>
      <c r="D323" s="27" t="s">
        <v>200</v>
      </c>
      <c r="E323" s="27" t="s">
        <v>194</v>
      </c>
      <c r="F323" s="27" t="s">
        <v>195</v>
      </c>
      <c r="G323" s="27" t="s">
        <v>262</v>
      </c>
    </row>
    <row r="324" spans="1:14" x14ac:dyDescent="0.2">
      <c r="A324" s="24" t="s">
        <v>251</v>
      </c>
      <c r="B324" s="24" t="s">
        <v>341</v>
      </c>
      <c r="C324" s="24" t="s">
        <v>348</v>
      </c>
      <c r="D324" s="24" t="s">
        <v>200</v>
      </c>
      <c r="E324" s="24" t="s">
        <v>196</v>
      </c>
      <c r="F324" s="24" t="s">
        <v>197</v>
      </c>
      <c r="G324" s="24" t="s">
        <v>262</v>
      </c>
    </row>
    <row r="325" spans="1:14" ht="22.5" x14ac:dyDescent="0.2">
      <c r="A325" s="27" t="s">
        <v>251</v>
      </c>
      <c r="B325" s="27" t="s">
        <v>341</v>
      </c>
      <c r="C325" s="27" t="s">
        <v>348</v>
      </c>
      <c r="D325" s="27" t="s">
        <v>200</v>
      </c>
      <c r="E325" s="27" t="s">
        <v>198</v>
      </c>
      <c r="F325" s="27" t="s">
        <v>199</v>
      </c>
      <c r="G325" s="27" t="s">
        <v>267</v>
      </c>
    </row>
    <row r="326" spans="1:14" x14ac:dyDescent="0.2">
      <c r="A326" s="24" t="s">
        <v>252</v>
      </c>
      <c r="B326" s="24" t="s">
        <v>342</v>
      </c>
      <c r="C326" s="24" t="s">
        <v>344</v>
      </c>
      <c r="D326" s="24" t="s">
        <v>32</v>
      </c>
      <c r="E326" s="24" t="s">
        <v>30</v>
      </c>
      <c r="F326" s="24" t="s">
        <v>31</v>
      </c>
      <c r="G326" s="24" t="s">
        <v>268</v>
      </c>
    </row>
    <row r="327" spans="1:14" s="1" customFormat="1" x14ac:dyDescent="0.2">
      <c r="A327" s="27" t="s">
        <v>252</v>
      </c>
      <c r="B327" s="27" t="s">
        <v>342</v>
      </c>
      <c r="C327" s="27" t="s">
        <v>344</v>
      </c>
      <c r="D327" s="27" t="s">
        <v>32</v>
      </c>
      <c r="E327" s="27" t="s">
        <v>9</v>
      </c>
      <c r="F327" s="27" t="s">
        <v>10</v>
      </c>
      <c r="G327" s="27" t="s">
        <v>262</v>
      </c>
      <c r="H327" s="21"/>
      <c r="I327" s="21"/>
      <c r="J327" s="21"/>
      <c r="K327" s="21"/>
      <c r="L327" s="21"/>
      <c r="M327" s="21"/>
      <c r="N327" s="22"/>
    </row>
    <row r="328" spans="1:14" x14ac:dyDescent="0.2">
      <c r="A328" s="24" t="s">
        <v>252</v>
      </c>
      <c r="B328" s="24" t="s">
        <v>342</v>
      </c>
      <c r="C328" s="24" t="s">
        <v>344</v>
      </c>
      <c r="D328" s="24" t="s">
        <v>32</v>
      </c>
      <c r="E328" s="24" t="s">
        <v>7</v>
      </c>
      <c r="F328" s="24" t="s">
        <v>8</v>
      </c>
      <c r="G328" s="24" t="s">
        <v>262</v>
      </c>
    </row>
    <row r="329" spans="1:14" x14ac:dyDescent="0.2">
      <c r="A329" s="27" t="s">
        <v>252</v>
      </c>
      <c r="B329" s="27" t="s">
        <v>342</v>
      </c>
      <c r="C329" s="27" t="s">
        <v>344</v>
      </c>
      <c r="D329" s="27" t="s">
        <v>32</v>
      </c>
      <c r="E329" s="27" t="s">
        <v>11</v>
      </c>
      <c r="F329" s="27" t="s">
        <v>12</v>
      </c>
      <c r="G329" s="27" t="s">
        <v>262</v>
      </c>
    </row>
    <row r="330" spans="1:14" x14ac:dyDescent="0.2">
      <c r="A330" s="24" t="s">
        <v>252</v>
      </c>
      <c r="B330" s="24" t="s">
        <v>342</v>
      </c>
      <c r="C330" s="24" t="s">
        <v>344</v>
      </c>
      <c r="D330" s="24" t="s">
        <v>32</v>
      </c>
      <c r="E330" s="24" t="s">
        <v>26</v>
      </c>
      <c r="F330" s="24" t="s">
        <v>27</v>
      </c>
      <c r="G330" s="24" t="s">
        <v>268</v>
      </c>
    </row>
    <row r="331" spans="1:14" x14ac:dyDescent="0.2">
      <c r="A331" s="27" t="s">
        <v>252</v>
      </c>
      <c r="B331" s="27" t="s">
        <v>342</v>
      </c>
      <c r="C331" s="27" t="s">
        <v>344</v>
      </c>
      <c r="D331" s="27" t="s">
        <v>32</v>
      </c>
      <c r="E331" s="27" t="s">
        <v>13</v>
      </c>
      <c r="F331" s="27" t="s">
        <v>14</v>
      </c>
      <c r="G331" s="27" t="s">
        <v>262</v>
      </c>
    </row>
    <row r="332" spans="1:14" ht="22.5" x14ac:dyDescent="0.2">
      <c r="A332" s="24" t="s">
        <v>252</v>
      </c>
      <c r="B332" s="24" t="s">
        <v>342</v>
      </c>
      <c r="C332" s="24" t="s">
        <v>344</v>
      </c>
      <c r="D332" s="24" t="s">
        <v>32</v>
      </c>
      <c r="E332" s="24" t="s">
        <v>28</v>
      </c>
      <c r="F332" s="24" t="s">
        <v>29</v>
      </c>
      <c r="G332" s="24" t="s">
        <v>268</v>
      </c>
    </row>
    <row r="333" spans="1:14" x14ac:dyDescent="0.2">
      <c r="A333" s="27" t="s">
        <v>252</v>
      </c>
      <c r="B333" s="27" t="s">
        <v>342</v>
      </c>
      <c r="C333" s="27" t="s">
        <v>345</v>
      </c>
      <c r="D333" s="27" t="s">
        <v>239</v>
      </c>
      <c r="E333" s="27" t="s">
        <v>121</v>
      </c>
      <c r="F333" s="27" t="s">
        <v>122</v>
      </c>
      <c r="G333" s="27" t="s">
        <v>267</v>
      </c>
    </row>
    <row r="334" spans="1:14" x14ac:dyDescent="0.2">
      <c r="A334" s="24" t="s">
        <v>252</v>
      </c>
      <c r="B334" s="24" t="s">
        <v>342</v>
      </c>
      <c r="C334" s="24" t="s">
        <v>345</v>
      </c>
      <c r="D334" s="24" t="s">
        <v>239</v>
      </c>
      <c r="E334" s="24" t="s">
        <v>63</v>
      </c>
      <c r="F334" s="24" t="s">
        <v>64</v>
      </c>
      <c r="G334" s="24" t="s">
        <v>262</v>
      </c>
    </row>
    <row r="335" spans="1:14" x14ac:dyDescent="0.2">
      <c r="A335" s="27" t="s">
        <v>252</v>
      </c>
      <c r="B335" s="27" t="s">
        <v>342</v>
      </c>
      <c r="C335" s="27" t="s">
        <v>345</v>
      </c>
      <c r="D335" s="27" t="s">
        <v>239</v>
      </c>
      <c r="E335" s="27" t="s">
        <v>124</v>
      </c>
      <c r="F335" s="27" t="s">
        <v>281</v>
      </c>
      <c r="G335" s="27" t="s">
        <v>267</v>
      </c>
    </row>
    <row r="336" spans="1:14" x14ac:dyDescent="0.2">
      <c r="A336" s="24" t="s">
        <v>252</v>
      </c>
      <c r="B336" s="24" t="s">
        <v>342</v>
      </c>
      <c r="C336" s="24" t="s">
        <v>345</v>
      </c>
      <c r="D336" s="24" t="s">
        <v>239</v>
      </c>
      <c r="E336" s="24" t="s">
        <v>119</v>
      </c>
      <c r="F336" s="24" t="s">
        <v>120</v>
      </c>
      <c r="G336" s="24" t="s">
        <v>267</v>
      </c>
    </row>
    <row r="337" spans="1:7" x14ac:dyDescent="0.2">
      <c r="A337" s="27" t="s">
        <v>252</v>
      </c>
      <c r="B337" s="27" t="s">
        <v>342</v>
      </c>
      <c r="C337" s="27" t="s">
        <v>345</v>
      </c>
      <c r="D337" s="27" t="s">
        <v>239</v>
      </c>
      <c r="E337" s="27" t="s">
        <v>123</v>
      </c>
      <c r="F337" s="27" t="s">
        <v>280</v>
      </c>
      <c r="G337" s="27" t="s">
        <v>267</v>
      </c>
    </row>
    <row r="338" spans="1:7" x14ac:dyDescent="0.2">
      <c r="A338" s="24" t="s">
        <v>252</v>
      </c>
      <c r="B338" s="24" t="s">
        <v>342</v>
      </c>
      <c r="C338" s="24" t="s">
        <v>345</v>
      </c>
      <c r="D338" s="24" t="s">
        <v>239</v>
      </c>
      <c r="E338" s="24" t="s">
        <v>109</v>
      </c>
      <c r="F338" s="24" t="s">
        <v>110</v>
      </c>
      <c r="G338" s="24" t="s">
        <v>262</v>
      </c>
    </row>
    <row r="339" spans="1:7" x14ac:dyDescent="0.2">
      <c r="A339" s="27" t="s">
        <v>252</v>
      </c>
      <c r="B339" s="27" t="s">
        <v>342</v>
      </c>
      <c r="C339" s="27" t="s">
        <v>345</v>
      </c>
      <c r="D339" s="27" t="s">
        <v>239</v>
      </c>
      <c r="E339" s="27" t="s">
        <v>115</v>
      </c>
      <c r="F339" s="27" t="s">
        <v>116</v>
      </c>
      <c r="G339" s="27" t="s">
        <v>262</v>
      </c>
    </row>
    <row r="340" spans="1:7" x14ac:dyDescent="0.2">
      <c r="A340" s="24" t="s">
        <v>252</v>
      </c>
      <c r="B340" s="24" t="s">
        <v>342</v>
      </c>
      <c r="C340" s="24" t="s">
        <v>345</v>
      </c>
      <c r="D340" s="24" t="s">
        <v>239</v>
      </c>
      <c r="E340" s="24" t="s">
        <v>125</v>
      </c>
      <c r="F340" s="24" t="s">
        <v>126</v>
      </c>
      <c r="G340" s="24" t="s">
        <v>268</v>
      </c>
    </row>
    <row r="341" spans="1:7" x14ac:dyDescent="0.2">
      <c r="A341" s="27" t="s">
        <v>252</v>
      </c>
      <c r="B341" s="27" t="s">
        <v>342</v>
      </c>
      <c r="C341" s="27" t="s">
        <v>345</v>
      </c>
      <c r="D341" s="27" t="s">
        <v>239</v>
      </c>
      <c r="E341" s="27" t="s">
        <v>113</v>
      </c>
      <c r="F341" s="27" t="s">
        <v>114</v>
      </c>
      <c r="G341" s="27" t="s">
        <v>262</v>
      </c>
    </row>
    <row r="342" spans="1:7" x14ac:dyDescent="0.2">
      <c r="A342" s="24" t="s">
        <v>252</v>
      </c>
      <c r="B342" s="24" t="s">
        <v>342</v>
      </c>
      <c r="C342" s="24" t="s">
        <v>345</v>
      </c>
      <c r="D342" s="24" t="s">
        <v>239</v>
      </c>
      <c r="E342" s="24" t="s">
        <v>111</v>
      </c>
      <c r="F342" s="24" t="s">
        <v>112</v>
      </c>
      <c r="G342" s="24" t="s">
        <v>262</v>
      </c>
    </row>
    <row r="343" spans="1:7" x14ac:dyDescent="0.2">
      <c r="A343" s="27" t="s">
        <v>252</v>
      </c>
      <c r="B343" s="27" t="s">
        <v>342</v>
      </c>
      <c r="C343" s="27" t="s">
        <v>346</v>
      </c>
      <c r="D343" s="27" t="s">
        <v>177</v>
      </c>
      <c r="E343" s="27" t="s">
        <v>155</v>
      </c>
      <c r="F343" s="27" t="s">
        <v>156</v>
      </c>
      <c r="G343" s="27" t="s">
        <v>267</v>
      </c>
    </row>
    <row r="344" spans="1:7" x14ac:dyDescent="0.2">
      <c r="A344" s="24" t="s">
        <v>252</v>
      </c>
      <c r="B344" s="24" t="s">
        <v>342</v>
      </c>
      <c r="C344" s="24" t="s">
        <v>346</v>
      </c>
      <c r="D344" s="24" t="s">
        <v>177</v>
      </c>
      <c r="E344" s="24" t="s">
        <v>135</v>
      </c>
      <c r="F344" s="24" t="s">
        <v>135</v>
      </c>
      <c r="G344" s="24" t="s">
        <v>262</v>
      </c>
    </row>
    <row r="345" spans="1:7" x14ac:dyDescent="0.2">
      <c r="A345" s="27" t="s">
        <v>252</v>
      </c>
      <c r="B345" s="27" t="s">
        <v>342</v>
      </c>
      <c r="C345" s="27" t="s">
        <v>346</v>
      </c>
      <c r="D345" s="27" t="s">
        <v>177</v>
      </c>
      <c r="E345" s="27" t="s">
        <v>100</v>
      </c>
      <c r="F345" s="27" t="s">
        <v>64</v>
      </c>
      <c r="G345" s="27" t="s">
        <v>262</v>
      </c>
    </row>
    <row r="346" spans="1:7" ht="56.25" x14ac:dyDescent="0.2">
      <c r="A346" s="24" t="s">
        <v>252</v>
      </c>
      <c r="B346" s="24" t="s">
        <v>342</v>
      </c>
      <c r="C346" s="24" t="s">
        <v>346</v>
      </c>
      <c r="D346" s="24" t="s">
        <v>177</v>
      </c>
      <c r="E346" s="24" t="s">
        <v>150</v>
      </c>
      <c r="F346" s="24" t="s">
        <v>302</v>
      </c>
      <c r="G346" s="24" t="s">
        <v>304</v>
      </c>
    </row>
    <row r="347" spans="1:7" x14ac:dyDescent="0.2">
      <c r="A347" s="27" t="s">
        <v>252</v>
      </c>
      <c r="B347" s="27" t="s">
        <v>342</v>
      </c>
      <c r="C347" s="27" t="s">
        <v>346</v>
      </c>
      <c r="D347" s="27" t="s">
        <v>177</v>
      </c>
      <c r="E347" s="27" t="s">
        <v>138</v>
      </c>
      <c r="F347" s="27" t="s">
        <v>139</v>
      </c>
      <c r="G347" s="27" t="s">
        <v>262</v>
      </c>
    </row>
    <row r="348" spans="1:7" x14ac:dyDescent="0.2">
      <c r="A348" s="24" t="s">
        <v>252</v>
      </c>
      <c r="B348" s="24" t="s">
        <v>342</v>
      </c>
      <c r="C348" s="24" t="s">
        <v>346</v>
      </c>
      <c r="D348" s="24" t="s">
        <v>177</v>
      </c>
      <c r="E348" s="24" t="s">
        <v>157</v>
      </c>
      <c r="F348" s="24" t="s">
        <v>158</v>
      </c>
      <c r="G348" s="24" t="s">
        <v>268</v>
      </c>
    </row>
    <row r="349" spans="1:7" x14ac:dyDescent="0.2">
      <c r="A349" s="27" t="s">
        <v>252</v>
      </c>
      <c r="B349" s="27" t="s">
        <v>342</v>
      </c>
      <c r="C349" s="27" t="s">
        <v>346</v>
      </c>
      <c r="D349" s="27" t="s">
        <v>177</v>
      </c>
      <c r="E349" s="27" t="s">
        <v>136</v>
      </c>
      <c r="F349" s="27" t="s">
        <v>137</v>
      </c>
      <c r="G349" s="27" t="s">
        <v>262</v>
      </c>
    </row>
    <row r="350" spans="1:7" ht="67.5" x14ac:dyDescent="0.2">
      <c r="A350" s="24" t="s">
        <v>252</v>
      </c>
      <c r="B350" s="24" t="s">
        <v>342</v>
      </c>
      <c r="C350" s="24" t="s">
        <v>346</v>
      </c>
      <c r="D350" s="24" t="s">
        <v>177</v>
      </c>
      <c r="E350" s="24" t="s">
        <v>152</v>
      </c>
      <c r="F350" s="24" t="s">
        <v>303</v>
      </c>
      <c r="G350" s="24" t="s">
        <v>304</v>
      </c>
    </row>
    <row r="351" spans="1:7" x14ac:dyDescent="0.2">
      <c r="A351" s="27" t="s">
        <v>252</v>
      </c>
      <c r="B351" s="27" t="s">
        <v>342</v>
      </c>
      <c r="C351" s="27" t="s">
        <v>347</v>
      </c>
      <c r="D351" s="27" t="s">
        <v>187</v>
      </c>
      <c r="E351" s="27" t="s">
        <v>135</v>
      </c>
      <c r="F351" s="27" t="s">
        <v>186</v>
      </c>
      <c r="G351" s="27" t="s">
        <v>262</v>
      </c>
    </row>
    <row r="352" spans="1:7" x14ac:dyDescent="0.2">
      <c r="A352" s="24" t="s">
        <v>252</v>
      </c>
      <c r="B352" s="24" t="s">
        <v>342</v>
      </c>
      <c r="C352" s="24" t="s">
        <v>347</v>
      </c>
      <c r="D352" s="24" t="s">
        <v>187</v>
      </c>
      <c r="E352" s="24" t="s">
        <v>100</v>
      </c>
      <c r="F352" s="24" t="s">
        <v>64</v>
      </c>
      <c r="G352" s="24" t="s">
        <v>262</v>
      </c>
    </row>
    <row r="353" spans="1:7" x14ac:dyDescent="0.2">
      <c r="A353" s="27" t="s">
        <v>252</v>
      </c>
      <c r="B353" s="27" t="s">
        <v>342</v>
      </c>
      <c r="C353" s="27" t="s">
        <v>347</v>
      </c>
      <c r="D353" s="27" t="s">
        <v>187</v>
      </c>
      <c r="E353" s="27" t="s">
        <v>180</v>
      </c>
      <c r="F353" s="27" t="s">
        <v>293</v>
      </c>
      <c r="G353" s="27" t="s">
        <v>262</v>
      </c>
    </row>
    <row r="354" spans="1:7" x14ac:dyDescent="0.2">
      <c r="A354" s="24" t="s">
        <v>252</v>
      </c>
      <c r="B354" s="24" t="s">
        <v>342</v>
      </c>
      <c r="C354" s="24" t="s">
        <v>347</v>
      </c>
      <c r="D354" s="24" t="s">
        <v>187</v>
      </c>
      <c r="E354" s="24" t="s">
        <v>181</v>
      </c>
      <c r="F354" s="24" t="s">
        <v>182</v>
      </c>
      <c r="G354" s="24" t="s">
        <v>262</v>
      </c>
    </row>
    <row r="355" spans="1:7" ht="22.5" x14ac:dyDescent="0.2">
      <c r="A355" s="27" t="s">
        <v>252</v>
      </c>
      <c r="B355" s="27" t="s">
        <v>342</v>
      </c>
      <c r="C355" s="27" t="s">
        <v>347</v>
      </c>
      <c r="D355" s="27" t="s">
        <v>187</v>
      </c>
      <c r="E355" s="27" t="s">
        <v>93</v>
      </c>
      <c r="F355" s="27" t="s">
        <v>301</v>
      </c>
      <c r="G355" s="27" t="s">
        <v>261</v>
      </c>
    </row>
    <row r="356" spans="1:7" x14ac:dyDescent="0.2">
      <c r="A356" s="24" t="s">
        <v>252</v>
      </c>
      <c r="B356" s="24" t="s">
        <v>342</v>
      </c>
      <c r="C356" s="24" t="s">
        <v>347</v>
      </c>
      <c r="D356" s="24" t="s">
        <v>187</v>
      </c>
      <c r="E356" s="24" t="s">
        <v>178</v>
      </c>
      <c r="F356" s="24" t="s">
        <v>178</v>
      </c>
      <c r="G356" s="24" t="s">
        <v>262</v>
      </c>
    </row>
    <row r="357" spans="1:7" x14ac:dyDescent="0.2">
      <c r="A357" s="27" t="s">
        <v>252</v>
      </c>
      <c r="B357" s="27" t="s">
        <v>342</v>
      </c>
      <c r="C357" s="27" t="s">
        <v>348</v>
      </c>
      <c r="D357" s="27" t="s">
        <v>200</v>
      </c>
      <c r="E357" s="27" t="s">
        <v>100</v>
      </c>
      <c r="F357" s="27" t="s">
        <v>64</v>
      </c>
      <c r="G357" s="27" t="s">
        <v>267</v>
      </c>
    </row>
    <row r="358" spans="1:7" x14ac:dyDescent="0.2">
      <c r="A358" s="24" t="s">
        <v>252</v>
      </c>
      <c r="B358" s="24" t="s">
        <v>342</v>
      </c>
      <c r="C358" s="24" t="s">
        <v>348</v>
      </c>
      <c r="D358" s="24" t="s">
        <v>200</v>
      </c>
      <c r="E358" s="24" t="s">
        <v>190</v>
      </c>
      <c r="F358" s="24" t="s">
        <v>191</v>
      </c>
      <c r="G358" s="24" t="s">
        <v>262</v>
      </c>
    </row>
    <row r="359" spans="1:7" x14ac:dyDescent="0.2">
      <c r="A359" s="27" t="s">
        <v>252</v>
      </c>
      <c r="B359" s="27" t="s">
        <v>342</v>
      </c>
      <c r="C359" s="27" t="s">
        <v>348</v>
      </c>
      <c r="D359" s="27" t="s">
        <v>200</v>
      </c>
      <c r="E359" s="27" t="s">
        <v>188</v>
      </c>
      <c r="F359" s="27" t="s">
        <v>189</v>
      </c>
      <c r="G359" s="27" t="s">
        <v>262</v>
      </c>
    </row>
    <row r="360" spans="1:7" ht="22.5" x14ac:dyDescent="0.2">
      <c r="A360" s="24" t="s">
        <v>252</v>
      </c>
      <c r="B360" s="24" t="s">
        <v>342</v>
      </c>
      <c r="C360" s="24" t="s">
        <v>348</v>
      </c>
      <c r="D360" s="24" t="s">
        <v>200</v>
      </c>
      <c r="E360" s="24" t="s">
        <v>93</v>
      </c>
      <c r="F360" s="24" t="s">
        <v>296</v>
      </c>
      <c r="G360" s="24" t="s">
        <v>262</v>
      </c>
    </row>
    <row r="361" spans="1:7" x14ac:dyDescent="0.2">
      <c r="A361" s="27" t="s">
        <v>252</v>
      </c>
      <c r="B361" s="27" t="s">
        <v>342</v>
      </c>
      <c r="C361" s="27" t="s">
        <v>348</v>
      </c>
      <c r="D361" s="27" t="s">
        <v>200</v>
      </c>
      <c r="E361" s="27" t="s">
        <v>192</v>
      </c>
      <c r="F361" s="27" t="s">
        <v>193</v>
      </c>
      <c r="G361" s="27" t="s">
        <v>262</v>
      </c>
    </row>
    <row r="362" spans="1:7" x14ac:dyDescent="0.2">
      <c r="A362" s="24" t="s">
        <v>252</v>
      </c>
      <c r="B362" s="24" t="s">
        <v>342</v>
      </c>
      <c r="C362" s="24" t="s">
        <v>348</v>
      </c>
      <c r="D362" s="24" t="s">
        <v>200</v>
      </c>
      <c r="E362" s="24" t="s">
        <v>194</v>
      </c>
      <c r="F362" s="24" t="s">
        <v>195</v>
      </c>
      <c r="G362" s="24" t="s">
        <v>262</v>
      </c>
    </row>
    <row r="363" spans="1:7" x14ac:dyDescent="0.2">
      <c r="A363" s="27" t="s">
        <v>252</v>
      </c>
      <c r="B363" s="27" t="s">
        <v>342</v>
      </c>
      <c r="C363" s="27" t="s">
        <v>348</v>
      </c>
      <c r="D363" s="27" t="s">
        <v>200</v>
      </c>
      <c r="E363" s="27" t="s">
        <v>196</v>
      </c>
      <c r="F363" s="27" t="s">
        <v>197</v>
      </c>
      <c r="G363" s="27" t="s">
        <v>262</v>
      </c>
    </row>
    <row r="364" spans="1:7" ht="22.5" x14ac:dyDescent="0.2">
      <c r="A364" s="24" t="s">
        <v>252</v>
      </c>
      <c r="B364" s="24" t="s">
        <v>342</v>
      </c>
      <c r="C364" s="24" t="s">
        <v>348</v>
      </c>
      <c r="D364" s="24" t="s">
        <v>200</v>
      </c>
      <c r="E364" s="24" t="s">
        <v>198</v>
      </c>
      <c r="F364" s="24" t="s">
        <v>199</v>
      </c>
      <c r="G364" s="24" t="s">
        <v>267</v>
      </c>
    </row>
    <row r="365" spans="1:7" x14ac:dyDescent="0.2">
      <c r="A365" s="27" t="s">
        <v>226</v>
      </c>
      <c r="B365" s="27" t="s">
        <v>324</v>
      </c>
      <c r="C365" s="27" t="s">
        <v>344</v>
      </c>
      <c r="D365" s="27" t="s">
        <v>32</v>
      </c>
      <c r="E365" s="27" t="s">
        <v>18</v>
      </c>
      <c r="F365" s="27" t="s">
        <v>19</v>
      </c>
      <c r="G365" s="27" t="s">
        <v>262</v>
      </c>
    </row>
    <row r="366" spans="1:7" x14ac:dyDescent="0.2">
      <c r="A366" s="24" t="s">
        <v>226</v>
      </c>
      <c r="B366" s="24" t="s">
        <v>324</v>
      </c>
      <c r="C366" s="24" t="s">
        <v>344</v>
      </c>
      <c r="D366" s="24" t="s">
        <v>32</v>
      </c>
      <c r="E366" s="24" t="s">
        <v>20</v>
      </c>
      <c r="F366" s="24" t="s">
        <v>21</v>
      </c>
      <c r="G366" s="24" t="s">
        <v>262</v>
      </c>
    </row>
    <row r="367" spans="1:7" x14ac:dyDescent="0.2">
      <c r="A367" s="27" t="s">
        <v>226</v>
      </c>
      <c r="B367" s="27" t="s">
        <v>324</v>
      </c>
      <c r="C367" s="27" t="s">
        <v>344</v>
      </c>
      <c r="D367" s="27" t="s">
        <v>32</v>
      </c>
      <c r="E367" s="27" t="s">
        <v>22</v>
      </c>
      <c r="F367" s="27" t="s">
        <v>23</v>
      </c>
      <c r="G367" s="27" t="s">
        <v>262</v>
      </c>
    </row>
    <row r="368" spans="1:7" x14ac:dyDescent="0.2">
      <c r="A368" s="24" t="s">
        <v>226</v>
      </c>
      <c r="B368" s="24" t="s">
        <v>324</v>
      </c>
      <c r="C368" s="24" t="s">
        <v>345</v>
      </c>
      <c r="D368" s="24" t="s">
        <v>108</v>
      </c>
      <c r="E368" s="24" t="s">
        <v>100</v>
      </c>
      <c r="F368" s="24" t="s">
        <v>101</v>
      </c>
      <c r="G368" s="24" t="s">
        <v>262</v>
      </c>
    </row>
    <row r="369" spans="1:7" x14ac:dyDescent="0.2">
      <c r="A369" s="27" t="s">
        <v>226</v>
      </c>
      <c r="B369" s="27" t="s">
        <v>324</v>
      </c>
      <c r="C369" s="27" t="s">
        <v>345</v>
      </c>
      <c r="D369" s="27" t="s">
        <v>108</v>
      </c>
      <c r="E369" s="27" t="s">
        <v>98</v>
      </c>
      <c r="F369" s="27" t="s">
        <v>99</v>
      </c>
      <c r="G369" s="27" t="s">
        <v>262</v>
      </c>
    </row>
    <row r="370" spans="1:7" x14ac:dyDescent="0.2">
      <c r="A370" s="24" t="s">
        <v>226</v>
      </c>
      <c r="B370" s="24" t="s">
        <v>324</v>
      </c>
      <c r="C370" s="24" t="s">
        <v>345</v>
      </c>
      <c r="D370" s="24" t="s">
        <v>108</v>
      </c>
      <c r="E370" s="24" t="s">
        <v>105</v>
      </c>
      <c r="F370" s="24" t="s">
        <v>263</v>
      </c>
      <c r="G370" s="24" t="s">
        <v>262</v>
      </c>
    </row>
    <row r="371" spans="1:7" x14ac:dyDescent="0.2">
      <c r="A371" s="27" t="s">
        <v>226</v>
      </c>
      <c r="B371" s="27" t="s">
        <v>324</v>
      </c>
      <c r="C371" s="27" t="s">
        <v>345</v>
      </c>
      <c r="D371" s="27" t="s">
        <v>108</v>
      </c>
      <c r="E371" s="27" t="s">
        <v>102</v>
      </c>
      <c r="F371" s="27" t="s">
        <v>56</v>
      </c>
      <c r="G371" s="27" t="s">
        <v>262</v>
      </c>
    </row>
    <row r="372" spans="1:7" x14ac:dyDescent="0.2">
      <c r="A372" s="24" t="s">
        <v>226</v>
      </c>
      <c r="B372" s="24" t="s">
        <v>324</v>
      </c>
      <c r="C372" s="24" t="s">
        <v>345</v>
      </c>
      <c r="D372" s="24" t="s">
        <v>108</v>
      </c>
      <c r="E372" s="24" t="s">
        <v>103</v>
      </c>
      <c r="F372" s="24" t="s">
        <v>104</v>
      </c>
      <c r="G372" s="24" t="s">
        <v>262</v>
      </c>
    </row>
    <row r="373" spans="1:7" x14ac:dyDescent="0.2">
      <c r="A373" s="27" t="s">
        <v>254</v>
      </c>
      <c r="B373" s="27" t="s">
        <v>325</v>
      </c>
      <c r="C373" s="27" t="s">
        <v>344</v>
      </c>
      <c r="D373" s="27" t="s">
        <v>32</v>
      </c>
      <c r="E373" s="27" t="s">
        <v>20</v>
      </c>
      <c r="F373" s="27" t="s">
        <v>21</v>
      </c>
      <c r="G373" s="27" t="s">
        <v>261</v>
      </c>
    </row>
    <row r="374" spans="1:7" x14ac:dyDescent="0.2">
      <c r="A374" s="24" t="s">
        <v>254</v>
      </c>
      <c r="B374" s="24" t="s">
        <v>325</v>
      </c>
      <c r="C374" s="24" t="s">
        <v>344</v>
      </c>
      <c r="D374" s="24" t="s">
        <v>32</v>
      </c>
      <c r="E374" s="24" t="s">
        <v>22</v>
      </c>
      <c r="F374" s="24" t="s">
        <v>23</v>
      </c>
      <c r="G374" s="24" t="s">
        <v>261</v>
      </c>
    </row>
    <row r="375" spans="1:7" x14ac:dyDescent="0.2">
      <c r="A375" s="27" t="s">
        <v>254</v>
      </c>
      <c r="B375" s="27" t="s">
        <v>325</v>
      </c>
      <c r="C375" s="27" t="s">
        <v>345</v>
      </c>
      <c r="D375" s="27" t="s">
        <v>108</v>
      </c>
      <c r="E375" s="27" t="s">
        <v>100</v>
      </c>
      <c r="F375" s="27" t="s">
        <v>101</v>
      </c>
      <c r="G375" s="27" t="s">
        <v>261</v>
      </c>
    </row>
    <row r="376" spans="1:7" x14ac:dyDescent="0.2">
      <c r="A376" s="24" t="s">
        <v>254</v>
      </c>
      <c r="B376" s="24" t="s">
        <v>325</v>
      </c>
      <c r="C376" s="24" t="s">
        <v>345</v>
      </c>
      <c r="D376" s="24" t="s">
        <v>108</v>
      </c>
      <c r="E376" s="24" t="s">
        <v>98</v>
      </c>
      <c r="F376" s="24" t="s">
        <v>99</v>
      </c>
      <c r="G376" s="24" t="s">
        <v>261</v>
      </c>
    </row>
    <row r="377" spans="1:7" x14ac:dyDescent="0.2">
      <c r="A377" s="27" t="s">
        <v>254</v>
      </c>
      <c r="B377" s="27" t="s">
        <v>325</v>
      </c>
      <c r="C377" s="27" t="s">
        <v>345</v>
      </c>
      <c r="D377" s="27" t="s">
        <v>108</v>
      </c>
      <c r="E377" s="27" t="s">
        <v>105</v>
      </c>
      <c r="F377" s="27" t="s">
        <v>263</v>
      </c>
      <c r="G377" s="27" t="s">
        <v>261</v>
      </c>
    </row>
    <row r="378" spans="1:7" x14ac:dyDescent="0.2">
      <c r="A378" s="24" t="s">
        <v>254</v>
      </c>
      <c r="B378" s="24" t="s">
        <v>325</v>
      </c>
      <c r="C378" s="24" t="s">
        <v>345</v>
      </c>
      <c r="D378" s="24" t="s">
        <v>108</v>
      </c>
      <c r="E378" s="24" t="s">
        <v>102</v>
      </c>
      <c r="F378" s="24" t="s">
        <v>56</v>
      </c>
      <c r="G378" s="24" t="s">
        <v>261</v>
      </c>
    </row>
    <row r="379" spans="1:7" x14ac:dyDescent="0.2">
      <c r="A379" s="27" t="s">
        <v>254</v>
      </c>
      <c r="B379" s="27" t="s">
        <v>325</v>
      </c>
      <c r="C379" s="27" t="s">
        <v>345</v>
      </c>
      <c r="D379" s="27" t="s">
        <v>108</v>
      </c>
      <c r="E379" s="27" t="s">
        <v>103</v>
      </c>
      <c r="F379" s="27" t="s">
        <v>104</v>
      </c>
      <c r="G379" s="27" t="s">
        <v>261</v>
      </c>
    </row>
    <row r="380" spans="1:7" ht="22.5" x14ac:dyDescent="0.2">
      <c r="A380" s="24" t="s">
        <v>236</v>
      </c>
      <c r="B380" s="24" t="s">
        <v>334</v>
      </c>
      <c r="C380" s="24" t="s">
        <v>344</v>
      </c>
      <c r="D380" s="24" t="s">
        <v>32</v>
      </c>
      <c r="E380" s="24" t="s">
        <v>16</v>
      </c>
      <c r="F380" s="24" t="s">
        <v>17</v>
      </c>
      <c r="G380" s="24" t="s">
        <v>262</v>
      </c>
    </row>
    <row r="381" spans="1:7" ht="22.5" x14ac:dyDescent="0.2">
      <c r="A381" s="27" t="s">
        <v>236</v>
      </c>
      <c r="B381" s="27" t="s">
        <v>334</v>
      </c>
      <c r="C381" s="27" t="s">
        <v>345</v>
      </c>
      <c r="D381" s="27" t="s">
        <v>239</v>
      </c>
      <c r="E381" s="27" t="s">
        <v>117</v>
      </c>
      <c r="F381" s="27" t="s">
        <v>118</v>
      </c>
      <c r="G381" s="27" t="s">
        <v>262</v>
      </c>
    </row>
    <row r="382" spans="1:7" x14ac:dyDescent="0.2">
      <c r="A382" s="24" t="s">
        <v>236</v>
      </c>
      <c r="B382" s="24" t="s">
        <v>334</v>
      </c>
      <c r="C382" s="24" t="s">
        <v>346</v>
      </c>
      <c r="D382" s="24" t="s">
        <v>205</v>
      </c>
      <c r="E382" s="24" t="s">
        <v>201</v>
      </c>
      <c r="F382" s="24" t="s">
        <v>202</v>
      </c>
      <c r="G382" s="24" t="s">
        <v>262</v>
      </c>
    </row>
    <row r="383" spans="1:7" x14ac:dyDescent="0.2">
      <c r="A383" s="27" t="s">
        <v>236</v>
      </c>
      <c r="B383" s="27" t="s">
        <v>334</v>
      </c>
      <c r="C383" s="27" t="s">
        <v>346</v>
      </c>
      <c r="D383" s="27" t="s">
        <v>205</v>
      </c>
      <c r="E383" s="27" t="s">
        <v>203</v>
      </c>
      <c r="F383" s="27" t="s">
        <v>204</v>
      </c>
      <c r="G383" s="27" t="s">
        <v>262</v>
      </c>
    </row>
    <row r="384" spans="1:7" x14ac:dyDescent="0.2">
      <c r="A384" s="24" t="s">
        <v>236</v>
      </c>
      <c r="B384" s="24" t="s">
        <v>334</v>
      </c>
      <c r="C384" s="24" t="s">
        <v>347</v>
      </c>
      <c r="D384" s="24" t="s">
        <v>210</v>
      </c>
      <c r="E384" s="24" t="s">
        <v>208</v>
      </c>
      <c r="F384" s="24" t="s">
        <v>209</v>
      </c>
      <c r="G384" s="24" t="s">
        <v>267</v>
      </c>
    </row>
    <row r="385" spans="1:7" x14ac:dyDescent="0.2">
      <c r="A385" s="27" t="s">
        <v>236</v>
      </c>
      <c r="B385" s="27" t="s">
        <v>334</v>
      </c>
      <c r="C385" s="27" t="s">
        <v>347</v>
      </c>
      <c r="D385" s="27" t="s">
        <v>210</v>
      </c>
      <c r="E385" s="27" t="s">
        <v>206</v>
      </c>
      <c r="F385" s="27" t="s">
        <v>207</v>
      </c>
      <c r="G385" s="27" t="s">
        <v>267</v>
      </c>
    </row>
    <row r="386" spans="1:7" ht="45" x14ac:dyDescent="0.2">
      <c r="A386" s="24" t="s">
        <v>232</v>
      </c>
      <c r="B386" s="24" t="s">
        <v>335</v>
      </c>
      <c r="C386" s="24" t="e">
        <v>#N/A</v>
      </c>
      <c r="D386" s="24" t="s">
        <v>240</v>
      </c>
      <c r="E386" s="24" t="s">
        <v>220</v>
      </c>
      <c r="F386" s="24" t="s">
        <v>297</v>
      </c>
      <c r="G386" s="24" t="s">
        <v>260</v>
      </c>
    </row>
    <row r="387" spans="1:7" ht="22.5" x14ac:dyDescent="0.2">
      <c r="A387" s="27" t="s">
        <v>232</v>
      </c>
      <c r="B387" s="27" t="s">
        <v>335</v>
      </c>
      <c r="C387" s="27" t="s">
        <v>344</v>
      </c>
      <c r="D387" s="27" t="s">
        <v>32</v>
      </c>
      <c r="E387" s="27" t="s">
        <v>16</v>
      </c>
      <c r="F387" s="27" t="s">
        <v>17</v>
      </c>
      <c r="G387" s="27" t="s">
        <v>261</v>
      </c>
    </row>
    <row r="388" spans="1:7" ht="22.5" x14ac:dyDescent="0.2">
      <c r="A388" s="24" t="s">
        <v>232</v>
      </c>
      <c r="B388" s="24" t="s">
        <v>335</v>
      </c>
      <c r="C388" s="24" t="s">
        <v>345</v>
      </c>
      <c r="D388" s="24" t="s">
        <v>239</v>
      </c>
      <c r="E388" s="24" t="s">
        <v>117</v>
      </c>
      <c r="F388" s="24" t="s">
        <v>118</v>
      </c>
      <c r="G388" s="24" t="s">
        <v>261</v>
      </c>
    </row>
    <row r="389" spans="1:7" ht="22.5" x14ac:dyDescent="0.2">
      <c r="A389" s="27" t="s">
        <v>232</v>
      </c>
      <c r="B389" s="27" t="s">
        <v>335</v>
      </c>
      <c r="C389" s="27" t="s">
        <v>346</v>
      </c>
      <c r="D389" s="27" t="s">
        <v>177</v>
      </c>
      <c r="E389" s="27" t="s">
        <v>140</v>
      </c>
      <c r="F389" s="27" t="s">
        <v>141</v>
      </c>
      <c r="G389" s="27" t="s">
        <v>261</v>
      </c>
    </row>
    <row r="390" spans="1:7" ht="22.5" x14ac:dyDescent="0.2">
      <c r="A390" s="24" t="s">
        <v>232</v>
      </c>
      <c r="B390" s="24" t="s">
        <v>335</v>
      </c>
      <c r="C390" s="24" t="s">
        <v>346</v>
      </c>
      <c r="D390" s="24" t="s">
        <v>177</v>
      </c>
      <c r="E390" s="24" t="s">
        <v>154</v>
      </c>
      <c r="F390" s="24" t="s">
        <v>282</v>
      </c>
      <c r="G390" s="24" t="s">
        <v>260</v>
      </c>
    </row>
    <row r="391" spans="1:7" ht="22.5" x14ac:dyDescent="0.2">
      <c r="A391" s="27" t="s">
        <v>232</v>
      </c>
      <c r="B391" s="27" t="s">
        <v>335</v>
      </c>
      <c r="C391" s="27" t="s">
        <v>346</v>
      </c>
      <c r="D391" s="27" t="s">
        <v>177</v>
      </c>
      <c r="E391" s="27" t="s">
        <v>142</v>
      </c>
      <c r="F391" s="27" t="s">
        <v>143</v>
      </c>
      <c r="G391" s="27" t="s">
        <v>261</v>
      </c>
    </row>
    <row r="392" spans="1:7" ht="22.5" x14ac:dyDescent="0.2">
      <c r="A392" s="24" t="s">
        <v>232</v>
      </c>
      <c r="B392" s="24" t="s">
        <v>335</v>
      </c>
      <c r="C392" s="24" t="s">
        <v>346</v>
      </c>
      <c r="D392" s="24" t="s">
        <v>177</v>
      </c>
      <c r="E392" s="24" t="s">
        <v>159</v>
      </c>
      <c r="F392" s="24" t="s">
        <v>283</v>
      </c>
      <c r="G392" s="24" t="s">
        <v>260</v>
      </c>
    </row>
    <row r="393" spans="1:7" ht="45" x14ac:dyDescent="0.2">
      <c r="A393" s="27" t="s">
        <v>232</v>
      </c>
      <c r="B393" s="27" t="s">
        <v>335</v>
      </c>
      <c r="C393" s="27" t="s">
        <v>347</v>
      </c>
      <c r="D393" s="27" t="s">
        <v>240</v>
      </c>
      <c r="E393" s="27" t="s">
        <v>100</v>
      </c>
      <c r="F393" s="27" t="s">
        <v>64</v>
      </c>
      <c r="G393" s="27" t="s">
        <v>260</v>
      </c>
    </row>
    <row r="394" spans="1:7" ht="45" x14ac:dyDescent="0.2">
      <c r="A394" s="24" t="s">
        <v>232</v>
      </c>
      <c r="B394" s="24" t="s">
        <v>335</v>
      </c>
      <c r="C394" s="24" t="s">
        <v>347</v>
      </c>
      <c r="D394" s="24" t="s">
        <v>240</v>
      </c>
      <c r="E394" s="24" t="s">
        <v>218</v>
      </c>
      <c r="F394" s="24" t="s">
        <v>219</v>
      </c>
      <c r="G394" s="24" t="s">
        <v>260</v>
      </c>
    </row>
    <row r="395" spans="1:7" ht="45" x14ac:dyDescent="0.2">
      <c r="A395" s="27" t="s">
        <v>232</v>
      </c>
      <c r="B395" s="27" t="s">
        <v>335</v>
      </c>
      <c r="C395" s="27" t="s">
        <v>347</v>
      </c>
      <c r="D395" s="27" t="s">
        <v>240</v>
      </c>
      <c r="E395" s="27" t="s">
        <v>93</v>
      </c>
      <c r="F395" s="27" t="s">
        <v>296</v>
      </c>
      <c r="G395" s="27" t="s">
        <v>260</v>
      </c>
    </row>
    <row r="396" spans="1:7" ht="45" x14ac:dyDescent="0.2">
      <c r="A396" s="24" t="s">
        <v>232</v>
      </c>
      <c r="B396" s="24" t="s">
        <v>335</v>
      </c>
      <c r="C396" s="24" t="s">
        <v>347</v>
      </c>
      <c r="D396" s="24" t="s">
        <v>240</v>
      </c>
      <c r="E396" s="24" t="s">
        <v>221</v>
      </c>
      <c r="F396" s="24" t="s">
        <v>298</v>
      </c>
      <c r="G396" s="24" t="s">
        <v>260</v>
      </c>
    </row>
    <row r="397" spans="1:7" x14ac:dyDescent="0.2">
      <c r="A397" s="27" t="s">
        <v>253</v>
      </c>
      <c r="B397" s="27" t="s">
        <v>336</v>
      </c>
      <c r="C397" s="27" t="s">
        <v>312</v>
      </c>
      <c r="D397" s="27" t="s">
        <v>177</v>
      </c>
      <c r="E397" s="27" t="s">
        <v>144</v>
      </c>
      <c r="F397" s="27" t="s">
        <v>145</v>
      </c>
      <c r="G397" s="27" t="s">
        <v>248</v>
      </c>
    </row>
    <row r="398" spans="1:7" x14ac:dyDescent="0.2">
      <c r="A398" s="24" t="s">
        <v>253</v>
      </c>
      <c r="B398" s="24" t="s">
        <v>336</v>
      </c>
      <c r="C398" s="24" t="s">
        <v>312</v>
      </c>
      <c r="D398" s="24" t="s">
        <v>177</v>
      </c>
      <c r="E398" s="24" t="s">
        <v>146</v>
      </c>
      <c r="F398" s="24" t="s">
        <v>147</v>
      </c>
      <c r="G398" s="24" t="s">
        <v>248</v>
      </c>
    </row>
    <row r="399" spans="1:7" ht="45" x14ac:dyDescent="0.2">
      <c r="A399" s="27" t="s">
        <v>253</v>
      </c>
      <c r="B399" s="27" t="s">
        <v>336</v>
      </c>
      <c r="C399" s="27" t="e">
        <v>#N/A</v>
      </c>
      <c r="D399" s="27" t="s">
        <v>240</v>
      </c>
      <c r="E399" s="27" t="s">
        <v>216</v>
      </c>
      <c r="F399" s="27" t="s">
        <v>217</v>
      </c>
      <c r="G399" s="27" t="s">
        <v>248</v>
      </c>
    </row>
    <row r="400" spans="1:7" ht="22.5" x14ac:dyDescent="0.2">
      <c r="A400" s="24" t="s">
        <v>253</v>
      </c>
      <c r="B400" s="24" t="s">
        <v>336</v>
      </c>
      <c r="C400" s="24" t="s">
        <v>344</v>
      </c>
      <c r="D400" s="24" t="s">
        <v>32</v>
      </c>
      <c r="E400" s="24" t="s">
        <v>16</v>
      </c>
      <c r="F400" s="24" t="s">
        <v>17</v>
      </c>
      <c r="G400" s="24" t="s">
        <v>261</v>
      </c>
    </row>
    <row r="401" spans="1:7" ht="22.5" x14ac:dyDescent="0.2">
      <c r="A401" s="27" t="s">
        <v>253</v>
      </c>
      <c r="B401" s="27" t="s">
        <v>336</v>
      </c>
      <c r="C401" s="27" t="s">
        <v>345</v>
      </c>
      <c r="D401" s="27" t="s">
        <v>239</v>
      </c>
      <c r="E401" s="27" t="s">
        <v>117</v>
      </c>
      <c r="F401" s="27" t="s">
        <v>118</v>
      </c>
      <c r="G401" s="27" t="s">
        <v>261</v>
      </c>
    </row>
    <row r="402" spans="1:7" ht="22.5" x14ac:dyDescent="0.2">
      <c r="A402" s="24" t="s">
        <v>253</v>
      </c>
      <c r="B402" s="24" t="s">
        <v>336</v>
      </c>
      <c r="C402" s="24" t="s">
        <v>346</v>
      </c>
      <c r="D402" s="24" t="s">
        <v>215</v>
      </c>
      <c r="E402" s="24" t="s">
        <v>93</v>
      </c>
      <c r="F402" s="24" t="s">
        <v>296</v>
      </c>
      <c r="G402" s="24" t="s">
        <v>264</v>
      </c>
    </row>
    <row r="403" spans="1:7" x14ac:dyDescent="0.2">
      <c r="A403" s="27" t="s">
        <v>253</v>
      </c>
      <c r="B403" s="27" t="s">
        <v>336</v>
      </c>
      <c r="C403" s="27" t="s">
        <v>346</v>
      </c>
      <c r="D403" s="27" t="s">
        <v>215</v>
      </c>
      <c r="E403" s="27" t="s">
        <v>213</v>
      </c>
      <c r="F403" s="27" t="s">
        <v>214</v>
      </c>
      <c r="G403" s="27" t="s">
        <v>264</v>
      </c>
    </row>
    <row r="404" spans="1:7" x14ac:dyDescent="0.2">
      <c r="A404" s="24" t="s">
        <v>253</v>
      </c>
      <c r="B404" s="24" t="s">
        <v>336</v>
      </c>
      <c r="C404" s="24" t="s">
        <v>346</v>
      </c>
      <c r="D404" s="24" t="s">
        <v>215</v>
      </c>
      <c r="E404" s="24" t="s">
        <v>211</v>
      </c>
      <c r="F404" s="24" t="s">
        <v>212</v>
      </c>
      <c r="G404" s="24" t="s">
        <v>264</v>
      </c>
    </row>
    <row r="405" spans="1:7" x14ac:dyDescent="0.2">
      <c r="A405" s="27" t="s">
        <v>229</v>
      </c>
      <c r="B405" s="27" t="s">
        <v>337</v>
      </c>
      <c r="C405" s="27" t="s">
        <v>312</v>
      </c>
      <c r="D405" s="27" t="s">
        <v>177</v>
      </c>
      <c r="E405" s="27" t="s">
        <v>148</v>
      </c>
      <c r="F405" s="27" t="s">
        <v>149</v>
      </c>
      <c r="G405" s="27" t="s">
        <v>248</v>
      </c>
    </row>
    <row r="406" spans="1:7" ht="22.5" x14ac:dyDescent="0.2">
      <c r="A406" s="24" t="s">
        <v>229</v>
      </c>
      <c r="B406" s="24" t="s">
        <v>337</v>
      </c>
      <c r="C406" s="24" t="s">
        <v>344</v>
      </c>
      <c r="D406" s="24" t="s">
        <v>32</v>
      </c>
      <c r="E406" s="24" t="s">
        <v>16</v>
      </c>
      <c r="F406" s="24" t="s">
        <v>17</v>
      </c>
      <c r="G406" s="24" t="s">
        <v>261</v>
      </c>
    </row>
    <row r="407" spans="1:7" x14ac:dyDescent="0.2">
      <c r="A407" s="27" t="s">
        <v>229</v>
      </c>
      <c r="B407" s="27" t="s">
        <v>337</v>
      </c>
      <c r="C407" s="27" t="s">
        <v>345</v>
      </c>
      <c r="D407" s="27" t="s">
        <v>89</v>
      </c>
      <c r="E407" s="27" t="s">
        <v>88</v>
      </c>
      <c r="F407" s="27" t="s">
        <v>64</v>
      </c>
      <c r="G407" s="27" t="s">
        <v>260</v>
      </c>
    </row>
    <row r="408" spans="1:7" ht="45" x14ac:dyDescent="0.2">
      <c r="A408" s="24" t="s">
        <v>229</v>
      </c>
      <c r="B408" s="24" t="s">
        <v>337</v>
      </c>
      <c r="C408" s="24" t="s">
        <v>345</v>
      </c>
      <c r="D408" s="24" t="s">
        <v>89</v>
      </c>
      <c r="E408" s="24" t="s">
        <v>84</v>
      </c>
      <c r="F408" s="24" t="s">
        <v>85</v>
      </c>
      <c r="G408" s="24" t="s">
        <v>260</v>
      </c>
    </row>
    <row r="409" spans="1:7" ht="33.75" x14ac:dyDescent="0.2">
      <c r="A409" s="27" t="s">
        <v>229</v>
      </c>
      <c r="B409" s="27" t="s">
        <v>337</v>
      </c>
      <c r="C409" s="27" t="s">
        <v>345</v>
      </c>
      <c r="D409" s="27" t="s">
        <v>89</v>
      </c>
      <c r="E409" s="27" t="s">
        <v>82</v>
      </c>
      <c r="F409" s="27" t="s">
        <v>83</v>
      </c>
      <c r="G409" s="27" t="s">
        <v>260</v>
      </c>
    </row>
    <row r="410" spans="1:7" ht="33.75" x14ac:dyDescent="0.2">
      <c r="A410" s="24" t="s">
        <v>229</v>
      </c>
      <c r="B410" s="24" t="s">
        <v>337</v>
      </c>
      <c r="C410" s="24" t="s">
        <v>345</v>
      </c>
      <c r="D410" s="24" t="s">
        <v>89</v>
      </c>
      <c r="E410" s="24" t="s">
        <v>86</v>
      </c>
      <c r="F410" s="24" t="s">
        <v>87</v>
      </c>
      <c r="G410" s="24" t="s">
        <v>260</v>
      </c>
    </row>
    <row r="411" spans="1:7" x14ac:dyDescent="0.2">
      <c r="A411" s="27" t="s">
        <v>238</v>
      </c>
      <c r="B411" s="27" t="s">
        <v>326</v>
      </c>
      <c r="C411" s="27" t="s">
        <v>344</v>
      </c>
      <c r="D411" s="27" t="s">
        <v>224</v>
      </c>
      <c r="E411" s="27" t="s">
        <v>222</v>
      </c>
      <c r="F411" s="27" t="s">
        <v>223</v>
      </c>
      <c r="G411" s="27" t="s">
        <v>260</v>
      </c>
    </row>
    <row r="412" spans="1:7" x14ac:dyDescent="0.2">
      <c r="A412" s="24" t="s">
        <v>259</v>
      </c>
      <c r="B412" s="24" t="s">
        <v>327</v>
      </c>
      <c r="C412" s="24" t="s">
        <v>344</v>
      </c>
      <c r="D412" s="24" t="s">
        <v>177</v>
      </c>
      <c r="E412" s="24" t="s">
        <v>160</v>
      </c>
      <c r="F412" s="24" t="s">
        <v>161</v>
      </c>
      <c r="G412" s="24" t="s">
        <v>294</v>
      </c>
    </row>
    <row r="413" spans="1:7" x14ac:dyDescent="0.2">
      <c r="A413" s="27" t="s">
        <v>259</v>
      </c>
      <c r="B413" s="27" t="s">
        <v>327</v>
      </c>
      <c r="C413" s="27" t="s">
        <v>344</v>
      </c>
      <c r="D413" s="27" t="s">
        <v>177</v>
      </c>
      <c r="E413" s="27" t="s">
        <v>152</v>
      </c>
      <c r="F413" s="27" t="s">
        <v>153</v>
      </c>
      <c r="G413" s="27" t="s">
        <v>294</v>
      </c>
    </row>
    <row r="414" spans="1:7" x14ac:dyDescent="0.2">
      <c r="A414" s="24" t="s">
        <v>233</v>
      </c>
      <c r="B414" s="24" t="s">
        <v>328</v>
      </c>
      <c r="C414" s="24" t="s">
        <v>344</v>
      </c>
      <c r="D414" s="24" t="s">
        <v>177</v>
      </c>
      <c r="E414" s="24" t="s">
        <v>162</v>
      </c>
      <c r="F414" s="24" t="s">
        <v>163</v>
      </c>
      <c r="G414" s="24" t="s">
        <v>294</v>
      </c>
    </row>
    <row r="415" spans="1:7" ht="33.75" x14ac:dyDescent="0.2">
      <c r="A415" s="27" t="s">
        <v>233</v>
      </c>
      <c r="B415" s="27" t="s">
        <v>328</v>
      </c>
      <c r="C415" s="27" t="s">
        <v>345</v>
      </c>
      <c r="D415" s="27" t="s">
        <v>295</v>
      </c>
      <c r="E415" s="27" t="s">
        <v>94</v>
      </c>
      <c r="F415" s="27" t="s">
        <v>95</v>
      </c>
      <c r="G415" s="27" t="s">
        <v>294</v>
      </c>
    </row>
    <row r="416" spans="1:7" ht="33.75" x14ac:dyDescent="0.2">
      <c r="A416" s="24" t="s">
        <v>233</v>
      </c>
      <c r="B416" s="24" t="s">
        <v>328</v>
      </c>
      <c r="C416" s="24" t="s">
        <v>345</v>
      </c>
      <c r="D416" s="24" t="s">
        <v>295</v>
      </c>
      <c r="E416" s="24" t="s">
        <v>93</v>
      </c>
      <c r="F416" s="24" t="s">
        <v>296</v>
      </c>
      <c r="G416" s="24" t="s">
        <v>294</v>
      </c>
    </row>
    <row r="417" spans="1:7" ht="33.75" x14ac:dyDescent="0.2">
      <c r="A417" s="27" t="s">
        <v>233</v>
      </c>
      <c r="B417" s="27" t="s">
        <v>328</v>
      </c>
      <c r="C417" s="27" t="s">
        <v>345</v>
      </c>
      <c r="D417" s="27" t="s">
        <v>295</v>
      </c>
      <c r="E417" s="27" t="s">
        <v>33</v>
      </c>
      <c r="F417" s="27" t="s">
        <v>96</v>
      </c>
      <c r="G417" s="27" t="s">
        <v>294</v>
      </c>
    </row>
    <row r="418" spans="1:7" x14ac:dyDescent="0.2">
      <c r="A418" s="24" t="s">
        <v>234</v>
      </c>
      <c r="B418" s="24" t="s">
        <v>329</v>
      </c>
      <c r="C418" s="24" t="s">
        <v>344</v>
      </c>
      <c r="D418" s="24" t="s">
        <v>177</v>
      </c>
      <c r="E418" s="24" t="s">
        <v>100</v>
      </c>
      <c r="F418" s="24" t="s">
        <v>64</v>
      </c>
      <c r="G418" s="24" t="s">
        <v>294</v>
      </c>
    </row>
    <row r="419" spans="1:7" x14ac:dyDescent="0.2">
      <c r="A419" s="27" t="s">
        <v>234</v>
      </c>
      <c r="B419" s="27" t="s">
        <v>329</v>
      </c>
      <c r="C419" s="27" t="s">
        <v>344</v>
      </c>
      <c r="D419" s="27" t="s">
        <v>177</v>
      </c>
      <c r="E419" s="27" t="s">
        <v>164</v>
      </c>
      <c r="F419" s="27" t="s">
        <v>284</v>
      </c>
      <c r="G419" s="27" t="s">
        <v>294</v>
      </c>
    </row>
    <row r="420" spans="1:7" ht="22.5" x14ac:dyDescent="0.2">
      <c r="A420" s="24" t="s">
        <v>234</v>
      </c>
      <c r="B420" s="24" t="s">
        <v>329</v>
      </c>
      <c r="C420" s="24" t="s">
        <v>344</v>
      </c>
      <c r="D420" s="24" t="s">
        <v>177</v>
      </c>
      <c r="E420" s="24" t="s">
        <v>167</v>
      </c>
      <c r="F420" s="24" t="s">
        <v>287</v>
      </c>
      <c r="G420" s="24" t="s">
        <v>294</v>
      </c>
    </row>
    <row r="421" spans="1:7" ht="22.5" x14ac:dyDescent="0.2">
      <c r="A421" s="27" t="s">
        <v>234</v>
      </c>
      <c r="B421" s="27" t="s">
        <v>329</v>
      </c>
      <c r="C421" s="27" t="s">
        <v>344</v>
      </c>
      <c r="D421" s="27" t="s">
        <v>177</v>
      </c>
      <c r="E421" s="27" t="s">
        <v>175</v>
      </c>
      <c r="F421" s="27" t="s">
        <v>291</v>
      </c>
      <c r="G421" s="27" t="s">
        <v>294</v>
      </c>
    </row>
    <row r="422" spans="1:7" ht="33.75" x14ac:dyDescent="0.2">
      <c r="A422" s="24" t="s">
        <v>234</v>
      </c>
      <c r="B422" s="24" t="s">
        <v>329</v>
      </c>
      <c r="C422" s="24" t="s">
        <v>344</v>
      </c>
      <c r="D422" s="24" t="s">
        <v>177</v>
      </c>
      <c r="E422" s="24" t="s">
        <v>173</v>
      </c>
      <c r="F422" s="24" t="s">
        <v>289</v>
      </c>
      <c r="G422" s="24" t="s">
        <v>294</v>
      </c>
    </row>
    <row r="423" spans="1:7" x14ac:dyDescent="0.2">
      <c r="A423" s="27" t="s">
        <v>234</v>
      </c>
      <c r="B423" s="27" t="s">
        <v>329</v>
      </c>
      <c r="C423" s="27" t="s">
        <v>344</v>
      </c>
      <c r="D423" s="27" t="s">
        <v>177</v>
      </c>
      <c r="E423" s="27" t="s">
        <v>169</v>
      </c>
      <c r="F423" s="27" t="s">
        <v>170</v>
      </c>
      <c r="G423" s="27" t="s">
        <v>294</v>
      </c>
    </row>
    <row r="424" spans="1:7" x14ac:dyDescent="0.2">
      <c r="A424" s="24" t="s">
        <v>234</v>
      </c>
      <c r="B424" s="24" t="s">
        <v>329</v>
      </c>
      <c r="C424" s="24" t="s">
        <v>345</v>
      </c>
      <c r="D424" s="24" t="s">
        <v>309</v>
      </c>
      <c r="E424" s="24" t="s">
        <v>70</v>
      </c>
      <c r="F424" s="24" t="s">
        <v>71</v>
      </c>
      <c r="G424" s="24" t="s">
        <v>294</v>
      </c>
    </row>
    <row r="425" spans="1:7" x14ac:dyDescent="0.2">
      <c r="A425" s="27" t="s">
        <v>234</v>
      </c>
      <c r="B425" s="27" t="s">
        <v>329</v>
      </c>
      <c r="C425" s="27" t="s">
        <v>345</v>
      </c>
      <c r="D425" s="27" t="s">
        <v>309</v>
      </c>
      <c r="E425" s="27" t="s">
        <v>73</v>
      </c>
      <c r="F425" s="27" t="s">
        <v>273</v>
      </c>
      <c r="G425" s="27" t="s">
        <v>294</v>
      </c>
    </row>
    <row r="426" spans="1:7" x14ac:dyDescent="0.2">
      <c r="A426" s="24" t="s">
        <v>234</v>
      </c>
      <c r="B426" s="24" t="s">
        <v>329</v>
      </c>
      <c r="C426" s="24" t="s">
        <v>345</v>
      </c>
      <c r="D426" s="24" t="s">
        <v>309</v>
      </c>
      <c r="E426" s="24" t="s">
        <v>66</v>
      </c>
      <c r="F426" s="24" t="s">
        <v>67</v>
      </c>
      <c r="G426" s="24" t="s">
        <v>294</v>
      </c>
    </row>
    <row r="427" spans="1:7" x14ac:dyDescent="0.2">
      <c r="A427" s="27" t="s">
        <v>234</v>
      </c>
      <c r="B427" s="27" t="s">
        <v>329</v>
      </c>
      <c r="C427" s="27" t="s">
        <v>345</v>
      </c>
      <c r="D427" s="27" t="s">
        <v>309</v>
      </c>
      <c r="E427" s="27" t="s">
        <v>68</v>
      </c>
      <c r="F427" s="27" t="s">
        <v>69</v>
      </c>
      <c r="G427" s="27" t="s">
        <v>294</v>
      </c>
    </row>
    <row r="428" spans="1:7" x14ac:dyDescent="0.2">
      <c r="A428" s="24" t="s">
        <v>234</v>
      </c>
      <c r="B428" s="24" t="s">
        <v>329</v>
      </c>
      <c r="C428" s="24" t="s">
        <v>345</v>
      </c>
      <c r="D428" s="24" t="s">
        <v>309</v>
      </c>
      <c r="E428" s="24" t="s">
        <v>72</v>
      </c>
      <c r="F428" s="24" t="s">
        <v>272</v>
      </c>
      <c r="G428" s="24" t="s">
        <v>294</v>
      </c>
    </row>
    <row r="429" spans="1:7" ht="22.5" x14ac:dyDescent="0.2">
      <c r="A429" s="27" t="s">
        <v>234</v>
      </c>
      <c r="B429" s="27" t="s">
        <v>329</v>
      </c>
      <c r="C429" s="27" t="s">
        <v>345</v>
      </c>
      <c r="D429" s="27" t="s">
        <v>309</v>
      </c>
      <c r="E429" s="27" t="s">
        <v>74</v>
      </c>
      <c r="F429" s="27" t="s">
        <v>296</v>
      </c>
      <c r="G429" s="27" t="s">
        <v>294</v>
      </c>
    </row>
    <row r="430" spans="1:7" x14ac:dyDescent="0.2">
      <c r="A430" s="24" t="s">
        <v>235</v>
      </c>
      <c r="B430" s="24" t="s">
        <v>330</v>
      </c>
      <c r="C430" s="24" t="s">
        <v>344</v>
      </c>
      <c r="D430" s="24" t="s">
        <v>177</v>
      </c>
      <c r="E430" s="24" t="s">
        <v>100</v>
      </c>
      <c r="F430" s="24" t="s">
        <v>64</v>
      </c>
      <c r="G430" s="24" t="s">
        <v>294</v>
      </c>
    </row>
    <row r="431" spans="1:7" x14ac:dyDescent="0.2">
      <c r="A431" s="27" t="s">
        <v>235</v>
      </c>
      <c r="B431" s="27" t="s">
        <v>330</v>
      </c>
      <c r="C431" s="27" t="s">
        <v>344</v>
      </c>
      <c r="D431" s="27" t="s">
        <v>177</v>
      </c>
      <c r="E431" s="27" t="s">
        <v>166</v>
      </c>
      <c r="F431" s="27" t="s">
        <v>286</v>
      </c>
      <c r="G431" s="27" t="s">
        <v>294</v>
      </c>
    </row>
    <row r="432" spans="1:7" x14ac:dyDescent="0.2">
      <c r="A432" s="24" t="s">
        <v>235</v>
      </c>
      <c r="B432" s="24" t="s">
        <v>330</v>
      </c>
      <c r="C432" s="24" t="s">
        <v>344</v>
      </c>
      <c r="D432" s="24" t="s">
        <v>177</v>
      </c>
      <c r="E432" s="24" t="s">
        <v>165</v>
      </c>
      <c r="F432" s="24" t="s">
        <v>285</v>
      </c>
      <c r="G432" s="24" t="s">
        <v>294</v>
      </c>
    </row>
    <row r="433" spans="1:7" ht="22.5" x14ac:dyDescent="0.2">
      <c r="A433" s="27" t="s">
        <v>235</v>
      </c>
      <c r="B433" s="27" t="s">
        <v>330</v>
      </c>
      <c r="C433" s="27" t="s">
        <v>344</v>
      </c>
      <c r="D433" s="27" t="s">
        <v>177</v>
      </c>
      <c r="E433" s="27" t="s">
        <v>176</v>
      </c>
      <c r="F433" s="27" t="s">
        <v>292</v>
      </c>
      <c r="G433" s="27" t="s">
        <v>294</v>
      </c>
    </row>
    <row r="434" spans="1:7" ht="33.75" x14ac:dyDescent="0.2">
      <c r="A434" s="24" t="s">
        <v>235</v>
      </c>
      <c r="B434" s="24" t="s">
        <v>330</v>
      </c>
      <c r="C434" s="24" t="s">
        <v>344</v>
      </c>
      <c r="D434" s="24" t="s">
        <v>177</v>
      </c>
      <c r="E434" s="24" t="s">
        <v>174</v>
      </c>
      <c r="F434" s="24" t="s">
        <v>290</v>
      </c>
      <c r="G434" s="24" t="s">
        <v>294</v>
      </c>
    </row>
    <row r="435" spans="1:7" ht="22.5" x14ac:dyDescent="0.2">
      <c r="A435" s="27" t="s">
        <v>235</v>
      </c>
      <c r="B435" s="27" t="s">
        <v>330</v>
      </c>
      <c r="C435" s="27" t="s">
        <v>344</v>
      </c>
      <c r="D435" s="27" t="s">
        <v>177</v>
      </c>
      <c r="E435" s="27" t="s">
        <v>168</v>
      </c>
      <c r="F435" s="27" t="s">
        <v>288</v>
      </c>
      <c r="G435" s="27" t="s">
        <v>294</v>
      </c>
    </row>
    <row r="436" spans="1:7" x14ac:dyDescent="0.2">
      <c r="A436" s="24" t="s">
        <v>235</v>
      </c>
      <c r="B436" s="24" t="s">
        <v>330</v>
      </c>
      <c r="C436" s="24" t="s">
        <v>344</v>
      </c>
      <c r="D436" s="24" t="s">
        <v>177</v>
      </c>
      <c r="E436" s="24" t="s">
        <v>171</v>
      </c>
      <c r="F436" s="24" t="s">
        <v>172</v>
      </c>
      <c r="G436" s="24" t="s">
        <v>294</v>
      </c>
    </row>
    <row r="437" spans="1:7" x14ac:dyDescent="0.2">
      <c r="A437" s="27" t="s">
        <v>235</v>
      </c>
      <c r="B437" s="27" t="s">
        <v>330</v>
      </c>
      <c r="C437" s="27" t="s">
        <v>345</v>
      </c>
      <c r="D437" s="27" t="s">
        <v>309</v>
      </c>
      <c r="E437" s="27" t="s">
        <v>70</v>
      </c>
      <c r="F437" s="27" t="s">
        <v>71</v>
      </c>
      <c r="G437" s="27" t="s">
        <v>294</v>
      </c>
    </row>
    <row r="438" spans="1:7" x14ac:dyDescent="0.2">
      <c r="A438" s="24" t="s">
        <v>235</v>
      </c>
      <c r="B438" s="24" t="s">
        <v>330</v>
      </c>
      <c r="C438" s="24" t="s">
        <v>345</v>
      </c>
      <c r="D438" s="24" t="s">
        <v>309</v>
      </c>
      <c r="E438" s="24" t="s">
        <v>73</v>
      </c>
      <c r="F438" s="24" t="s">
        <v>273</v>
      </c>
      <c r="G438" s="24" t="s">
        <v>294</v>
      </c>
    </row>
    <row r="439" spans="1:7" x14ac:dyDescent="0.2">
      <c r="A439" s="27" t="s">
        <v>235</v>
      </c>
      <c r="B439" s="27" t="s">
        <v>330</v>
      </c>
      <c r="C439" s="27" t="s">
        <v>345</v>
      </c>
      <c r="D439" s="27" t="s">
        <v>309</v>
      </c>
      <c r="E439" s="27" t="s">
        <v>68</v>
      </c>
      <c r="F439" s="27" t="s">
        <v>69</v>
      </c>
      <c r="G439" s="27" t="s">
        <v>294</v>
      </c>
    </row>
    <row r="440" spans="1:7" x14ac:dyDescent="0.2">
      <c r="A440" s="26" t="s">
        <v>235</v>
      </c>
      <c r="B440" s="24" t="s">
        <v>330</v>
      </c>
      <c r="C440" s="24" t="s">
        <v>345</v>
      </c>
      <c r="D440" s="24" t="s">
        <v>309</v>
      </c>
      <c r="E440" s="24" t="s">
        <v>72</v>
      </c>
      <c r="F440" s="24" t="s">
        <v>272</v>
      </c>
      <c r="G440" s="25" t="s">
        <v>294</v>
      </c>
    </row>
    <row r="441" spans="1:7" ht="22.5" x14ac:dyDescent="0.2">
      <c r="A441" s="27" t="s">
        <v>235</v>
      </c>
      <c r="B441" s="29" t="s">
        <v>330</v>
      </c>
      <c r="C441" s="29" t="s">
        <v>345</v>
      </c>
      <c r="D441" s="27" t="s">
        <v>309</v>
      </c>
      <c r="E441" s="27" t="s">
        <v>74</v>
      </c>
      <c r="F441" s="27" t="s">
        <v>296</v>
      </c>
      <c r="G441" s="27" t="s">
        <v>294</v>
      </c>
    </row>
  </sheetData>
  <pageMargins left="0.23622047244094491" right="0.23622047244094491" top="0.43619791666666669" bottom="0.39370078740157483" header="0.23622047244094491" footer="0.15748031496062992"/>
  <pageSetup paperSize="9" orientation="landscape" r:id="rId1"/>
  <headerFooter>
    <oddHeader>&amp;C&amp;"-,Bold"V-reports_Dictionnary</oddHeader>
    <oddFooter>Page &amp;P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59999389629810485"/>
  </sheetPr>
  <dimension ref="A1:R42"/>
  <sheetViews>
    <sheetView workbookViewId="0"/>
  </sheetViews>
  <sheetFormatPr defaultRowHeight="14.25" x14ac:dyDescent="0.2"/>
  <cols>
    <col min="1" max="1" width="24.875" style="21" customWidth="1"/>
    <col min="2" max="2" width="7.375" style="21" customWidth="1"/>
    <col min="3" max="3" width="27.75" style="21" customWidth="1"/>
    <col min="4" max="4" width="7.375" style="21" customWidth="1"/>
    <col min="5" max="5" width="26" style="21" customWidth="1"/>
    <col min="6" max="6" width="7.375" style="21" customWidth="1"/>
    <col min="7" max="7" width="20.875" style="21" customWidth="1"/>
    <col min="8" max="8" width="7.625" style="21" customWidth="1"/>
    <col min="9" max="9" width="34.375" style="21" customWidth="1"/>
    <col min="10" max="10" width="7.375" style="21" customWidth="1"/>
    <col min="11" max="11" width="34.25" style="21" customWidth="1"/>
    <col min="12" max="12" width="6.5" style="21" customWidth="1"/>
    <col min="13" max="13" width="29" style="21" customWidth="1"/>
    <col min="14" max="14" width="8.25" style="21" customWidth="1"/>
    <col min="15" max="15" width="26.75" style="21" customWidth="1"/>
    <col min="16" max="16" width="11.25" style="21" customWidth="1"/>
    <col min="17" max="17" width="35.875" style="21" customWidth="1"/>
    <col min="18" max="18" width="12.75" customWidth="1"/>
  </cols>
  <sheetData>
    <row r="1" spans="1:18" x14ac:dyDescent="0.2">
      <c r="A1" s="36" t="str">
        <f ca="1">HYPERLINK("#" &amp; CELL("address",INDEX!$A$1), "Go back to INDEX")</f>
        <v>Go back to INDEX</v>
      </c>
    </row>
    <row r="2" spans="1:18" s="33" customFormat="1" ht="20.25" x14ac:dyDescent="0.2">
      <c r="A2" s="62" t="s">
        <v>1681</v>
      </c>
      <c r="B2" s="63"/>
      <c r="C2" s="43"/>
      <c r="D2" s="43"/>
      <c r="E2" s="43"/>
      <c r="F2" s="43"/>
      <c r="G2" s="43"/>
      <c r="H2" s="43"/>
      <c r="I2" s="43"/>
      <c r="J2" s="43"/>
      <c r="K2" s="43"/>
      <c r="L2" s="43"/>
      <c r="M2" s="43"/>
      <c r="N2" s="43"/>
      <c r="O2" s="43"/>
      <c r="P2" s="43"/>
      <c r="Q2" s="43"/>
      <c r="R2" s="43"/>
    </row>
    <row r="3" spans="1:18" s="64" customFormat="1" ht="15" x14ac:dyDescent="0.2">
      <c r="A3" s="51" t="s">
        <v>906</v>
      </c>
      <c r="B3" s="51"/>
      <c r="C3" s="51" t="s">
        <v>65</v>
      </c>
      <c r="D3" s="51"/>
      <c r="E3" s="51" t="s">
        <v>898</v>
      </c>
      <c r="F3" s="51"/>
      <c r="G3" s="51" t="s">
        <v>462</v>
      </c>
      <c r="H3" s="51"/>
      <c r="I3" s="51" t="s">
        <v>755</v>
      </c>
      <c r="J3" s="51"/>
      <c r="K3" s="51" t="s">
        <v>469</v>
      </c>
      <c r="L3" s="51"/>
      <c r="M3" s="51" t="s">
        <v>750</v>
      </c>
      <c r="N3" s="51"/>
      <c r="O3" s="51" t="s">
        <v>361</v>
      </c>
      <c r="P3" s="51"/>
      <c r="Q3" s="51" t="s">
        <v>744</v>
      </c>
      <c r="R3" s="51"/>
    </row>
    <row r="4" spans="1:18" ht="14.25" customHeight="1" x14ac:dyDescent="0.2">
      <c r="A4" s="155" t="str">
        <f ca="1">HYPERLINK("#" &amp; CELL("address", Concepts!$A$6), "MFIs:")</f>
        <v>MFIs:</v>
      </c>
      <c r="B4" s="49"/>
      <c r="C4" s="37" t="s">
        <v>737</v>
      </c>
      <c r="D4" s="49"/>
      <c r="E4" s="152" t="str">
        <f ca="1">HYPERLINK("#" &amp; CELL("address", Concepts!$A$67), "SEPA Direct Debit Core")</f>
        <v>SEPA Direct Debit Core</v>
      </c>
      <c r="F4" s="49" t="s">
        <v>1497</v>
      </c>
      <c r="G4" s="152" t="str">
        <f ca="1">HYPERLINK("#" &amp; CELL("address", Concepts!$A$32), "Electronic file/batch")</f>
        <v>Electronic file/batch</v>
      </c>
      <c r="H4" s="49" t="s">
        <v>728</v>
      </c>
      <c r="I4" s="152" t="str">
        <f ca="1">HYPERLINK("#" &amp; CELL("address", Concepts!$A$69), "Consent given via electronic mandate")</f>
        <v>Consent given via electronic mandate</v>
      </c>
      <c r="J4" s="49" t="s">
        <v>760</v>
      </c>
      <c r="K4" s="160" t="str">
        <f ca="1">HYPERLINK("#" &amp; CELL("address", Concepts!$A$59), "Not applicable ")</f>
        <v xml:space="preserve">Not applicable </v>
      </c>
      <c r="L4" s="49" t="s">
        <v>761</v>
      </c>
      <c r="M4" s="152" t="str">
        <f ca="1">HYPERLINK("#" &amp; CELL("address", Concepts!$A$145), "2-letter ISO 3166 country code")</f>
        <v>2-letter ISO 3166 country code</v>
      </c>
      <c r="N4" s="49" t="s">
        <v>360</v>
      </c>
      <c r="O4" s="160" t="str">
        <f ca="1">HYPERLINK("#" &amp; CELL("address", Concepts!$A$146), "3-letter ISO 4217 currency code")</f>
        <v>3-letter ISO 4217 currency code</v>
      </c>
      <c r="P4" s="49" t="s">
        <v>362</v>
      </c>
      <c r="Q4" s="152" t="str">
        <f ca="1">HYPERLINK("#" &amp; CELL("address", Concepts!$A$147), "Number of transactions ")</f>
        <v xml:space="preserve">Number of transactions </v>
      </c>
      <c r="R4" s="49" t="s">
        <v>389</v>
      </c>
    </row>
    <row r="5" spans="1:18" ht="14.25" customHeight="1" x14ac:dyDescent="0.2">
      <c r="A5" s="160" t="str">
        <f ca="1">HYPERLINK("#" &amp; CELL("address", Concepts!$A$7), "╠═ Credit institution")</f>
        <v>╠═ Credit institution</v>
      </c>
      <c r="B5" s="49" t="s">
        <v>356</v>
      </c>
      <c r="C5" t="s">
        <v>2653</v>
      </c>
      <c r="D5" s="49" t="s">
        <v>45</v>
      </c>
      <c r="E5" s="148" t="str">
        <f ca="1">HYPERLINK("#" &amp; CELL("address", Concepts!$A$68), "SEPA Direct Debit B2B")</f>
        <v>SEPA Direct Debit B2B</v>
      </c>
      <c r="F5" s="49" t="s">
        <v>1498</v>
      </c>
      <c r="G5" s="148" t="str">
        <f ca="1">HYPERLINK("#" &amp; CELL("address", Concepts!$A$31), "Electronic single")</f>
        <v>Electronic single</v>
      </c>
      <c r="H5" s="49" t="s">
        <v>757</v>
      </c>
      <c r="I5" s="148" t="str">
        <f ca="1">HYPERLINK("#" &amp; CELL("address", Concepts!$A$70), "Consent given in other forms / unknown")</f>
        <v>Consent given in other forms / unknown</v>
      </c>
      <c r="J5" s="49" t="s">
        <v>1087</v>
      </c>
      <c r="K5"/>
      <c r="L5"/>
      <c r="M5"/>
      <c r="N5"/>
      <c r="O5"/>
      <c r="P5"/>
      <c r="Q5" s="148" t="str">
        <f ca="1">HYPERLINK("#" &amp; CELL("address", Concepts!$A$148), "Value of transactions")</f>
        <v>Value of transactions</v>
      </c>
      <c r="R5" s="49" t="s">
        <v>390</v>
      </c>
    </row>
    <row r="6" spans="1:18" ht="14.25" customHeight="1" x14ac:dyDescent="0.2">
      <c r="A6" s="160" t="str">
        <f ca="1">HYPERLINK("#" &amp; CELL("address", Concepts!$A$8), "╠═ Monetary fund")</f>
        <v>╠═ Monetary fund</v>
      </c>
      <c r="B6" s="49" t="s">
        <v>357</v>
      </c>
      <c r="C6" t="s">
        <v>1896</v>
      </c>
      <c r="D6" s="49" t="s">
        <v>47</v>
      </c>
      <c r="E6" s="148" t="str">
        <f ca="1">HYPERLINK("#" &amp; CELL("address", Concepts!$A$28), "Non-SEPA scheme")</f>
        <v>Non-SEPA scheme</v>
      </c>
      <c r="F6" s="49" t="s">
        <v>900</v>
      </c>
      <c r="G6"/>
      <c r="H6"/>
      <c r="I6"/>
      <c r="J6"/>
      <c r="K6"/>
      <c r="L6"/>
      <c r="M6"/>
      <c r="N6"/>
      <c r="O6"/>
      <c r="P6"/>
      <c r="Q6"/>
    </row>
    <row r="7" spans="1:18" ht="14.25" customHeight="1" x14ac:dyDescent="0.2">
      <c r="A7" s="160" t="str">
        <f ca="1">HYPERLINK("#" &amp; CELL("address", Concepts!$A$9), "╠═ Electronic money institution ")</f>
        <v xml:space="preserve">╠═ Electronic money institution </v>
      </c>
      <c r="B7" s="49" t="s">
        <v>475</v>
      </c>
      <c r="C7" t="s">
        <v>1897</v>
      </c>
      <c r="D7" s="49" t="s">
        <v>49</v>
      </c>
      <c r="E7" s="148" t="str">
        <f ca="1">HYPERLINK("#" &amp; CELL("address", Concepts!$A$29), "Not applicable ")</f>
        <v xml:space="preserve">Not applicable </v>
      </c>
      <c r="F7" s="49" t="s">
        <v>761</v>
      </c>
      <c r="G7"/>
      <c r="H7"/>
      <c r="I7"/>
      <c r="J7"/>
      <c r="K7"/>
      <c r="L7"/>
      <c r="M7"/>
      <c r="N7"/>
      <c r="O7"/>
      <c r="P7"/>
      <c r="Q7"/>
    </row>
    <row r="8" spans="1:18" ht="14.25" customHeight="1" x14ac:dyDescent="0.2">
      <c r="A8" s="160" t="str">
        <f ca="1">HYPERLINK("#" &amp; CELL("address", Concepts!$A$13), "╠═ Payment institution")</f>
        <v>╠═ Payment institution</v>
      </c>
      <c r="B8" s="49" t="s">
        <v>1015</v>
      </c>
      <c r="C8" t="s">
        <v>1898</v>
      </c>
      <c r="D8" s="49" t="s">
        <v>51</v>
      </c>
      <c r="E8"/>
      <c r="F8"/>
      <c r="G8"/>
      <c r="H8"/>
      <c r="I8"/>
      <c r="J8"/>
      <c r="K8"/>
      <c r="L8"/>
      <c r="M8"/>
      <c r="N8"/>
      <c r="O8"/>
      <c r="P8"/>
      <c r="Q8"/>
    </row>
    <row r="9" spans="1:18" ht="14.25" customHeight="1" x14ac:dyDescent="0.2">
      <c r="A9" s="160" t="str">
        <f ca="1">HYPERLINK("#" &amp; CELL("address", Concepts!$A$10), "╚═ Other MFI")</f>
        <v>╚═ Other MFI</v>
      </c>
      <c r="B9" s="49" t="s">
        <v>470</v>
      </c>
      <c r="C9" t="s">
        <v>2383</v>
      </c>
      <c r="D9" s="49" t="s">
        <v>53</v>
      </c>
      <c r="E9"/>
      <c r="F9"/>
      <c r="G9"/>
      <c r="H9"/>
      <c r="I9"/>
      <c r="J9"/>
      <c r="K9"/>
      <c r="L9"/>
      <c r="M9"/>
      <c r="N9"/>
      <c r="O9"/>
      <c r="P9"/>
      <c r="Q9"/>
    </row>
    <row r="10" spans="1:18" ht="14.25" customHeight="1" x14ac:dyDescent="0.2">
      <c r="A10" s="174" t="str">
        <f ca="1">HYPERLINK("#" &amp; CELL("address", Concepts!$A$11), "Non-MFIs:")</f>
        <v>Non-MFIs:</v>
      </c>
      <c r="B10" s="49"/>
      <c r="C10" s="160" t="str">
        <f ca="1">HYPERLINK("#" &amp; CELL("address", Concepts!$A$20), "On-us")</f>
        <v>On-us</v>
      </c>
      <c r="D10" s="49" t="s">
        <v>55</v>
      </c>
      <c r="E10"/>
      <c r="F10"/>
      <c r="G10"/>
      <c r="H10"/>
      <c r="I10"/>
      <c r="J10"/>
      <c r="K10"/>
      <c r="L10"/>
      <c r="M10"/>
      <c r="N10"/>
      <c r="O10"/>
      <c r="P10"/>
      <c r="Q10"/>
    </row>
    <row r="11" spans="1:18" ht="14.25" customHeight="1" x14ac:dyDescent="0.2">
      <c r="A11" s="160" t="str">
        <f ca="1">HYPERLINK("#" &amp; CELL("address", Concepts!$A$12), "╠═ Non-monetary fund")</f>
        <v>╠═ Non-monetary fund</v>
      </c>
      <c r="B11" s="49" t="s">
        <v>352</v>
      </c>
      <c r="C11" s="160" t="str">
        <f ca="1">HYPERLINK("#" &amp; CELL("address", Concepts!$A$23), "PSP LU")</f>
        <v>PSP LU</v>
      </c>
      <c r="D11" s="49" t="s">
        <v>60</v>
      </c>
      <c r="E11"/>
      <c r="F11"/>
      <c r="G11"/>
      <c r="H11"/>
      <c r="I11"/>
      <c r="J11"/>
      <c r="K11"/>
      <c r="L11"/>
      <c r="M11"/>
      <c r="N11"/>
      <c r="O11"/>
      <c r="P11"/>
      <c r="Q11"/>
    </row>
    <row r="12" spans="1:18" ht="14.25" customHeight="1" x14ac:dyDescent="0.2">
      <c r="A12" s="160" t="str">
        <f ca="1">HYPERLINK("#" &amp; CELL("address", Concepts!$A$14), "╠═ Households and NPISHs")</f>
        <v>╠═ Households and NPISHs</v>
      </c>
      <c r="B12" s="49" t="s">
        <v>738</v>
      </c>
      <c r="C12" s="160" t="str">
        <f ca="1">HYPERLINK("#" &amp; CELL("address", Concepts!$A$24), "PSP non-LU")</f>
        <v>PSP non-LU</v>
      </c>
      <c r="D12" s="49" t="s">
        <v>62</v>
      </c>
      <c r="E12"/>
      <c r="F12"/>
      <c r="G12"/>
      <c r="H12"/>
      <c r="I12"/>
      <c r="J12"/>
      <c r="K12"/>
      <c r="L12"/>
      <c r="M12"/>
      <c r="N12"/>
      <c r="O12"/>
      <c r="P12"/>
      <c r="Q12"/>
    </row>
    <row r="13" spans="1:18" ht="14.25" customHeight="1" x14ac:dyDescent="0.2">
      <c r="A13" s="160" t="str">
        <f ca="1">HYPERLINK("#" &amp; CELL("address", Concepts!$A$15), "╠═ Non-financial corporations")</f>
        <v>╠═ Non-financial corporations</v>
      </c>
      <c r="B13" s="49" t="s">
        <v>739</v>
      </c>
      <c r="C13" s="160" t="str">
        <f ca="1">HYPERLINK("#" &amp; CELL("address", Concepts!$A$25), "Other")</f>
        <v>Other</v>
      </c>
      <c r="D13" s="49" t="s">
        <v>364</v>
      </c>
      <c r="E13"/>
      <c r="F13"/>
      <c r="G13"/>
      <c r="H13"/>
      <c r="I13"/>
      <c r="J13"/>
      <c r="K13"/>
      <c r="L13"/>
      <c r="M13"/>
      <c r="N13"/>
      <c r="O13"/>
      <c r="P13"/>
      <c r="Q13"/>
    </row>
    <row r="14" spans="1:18" ht="14.25" customHeight="1" x14ac:dyDescent="0.2">
      <c r="A14" s="160" t="str">
        <f ca="1">HYPERLINK("#" &amp; CELL("address", Concepts!$A$16), "╚═ Other non-MFI")</f>
        <v>╚═ Other non-MFI</v>
      </c>
      <c r="B14" s="49" t="s">
        <v>472</v>
      </c>
      <c r="E14"/>
      <c r="F14"/>
      <c r="G14"/>
      <c r="H14"/>
      <c r="I14"/>
      <c r="J14"/>
      <c r="K14"/>
      <c r="L14"/>
      <c r="M14"/>
      <c r="N14"/>
      <c r="O14"/>
      <c r="P14"/>
      <c r="Q14"/>
    </row>
    <row r="15" spans="1:18" ht="14.25" customHeight="1" x14ac:dyDescent="0.2">
      <c r="A15" s="175" t="str">
        <f ca="1">HYPERLINK("#" &amp; CELL("address", Concepts!$A$17), "Own account operation")</f>
        <v>Own account operation</v>
      </c>
      <c r="B15" s="49" t="s">
        <v>474</v>
      </c>
      <c r="E15"/>
      <c r="F15"/>
      <c r="G15"/>
      <c r="H15"/>
      <c r="I15"/>
      <c r="J15"/>
      <c r="K15"/>
      <c r="L15"/>
      <c r="M15"/>
      <c r="N15"/>
      <c r="O15"/>
      <c r="P15"/>
      <c r="Q15"/>
    </row>
    <row r="16" spans="1:18" ht="14.25" customHeight="1" x14ac:dyDescent="0.2">
      <c r="A16" s="160" t="str">
        <f ca="1">HYPERLINK("#" &amp; CELL("address", Concepts!$A$18), "Unknown")</f>
        <v>Unknown</v>
      </c>
      <c r="B16" s="49" t="s">
        <v>350</v>
      </c>
      <c r="E16"/>
      <c r="F16"/>
      <c r="G16"/>
      <c r="H16"/>
      <c r="I16"/>
      <c r="J16"/>
      <c r="K16"/>
      <c r="L16"/>
      <c r="M16"/>
      <c r="N16"/>
      <c r="O16"/>
      <c r="P16"/>
      <c r="Q16"/>
    </row>
    <row r="17" spans="1:18" ht="14.25" customHeight="1" x14ac:dyDescent="0.2">
      <c r="A17"/>
      <c r="B17" s="49"/>
      <c r="E17"/>
      <c r="F17"/>
      <c r="G17"/>
      <c r="H17"/>
      <c r="I17"/>
      <c r="J17"/>
      <c r="K17"/>
      <c r="L17"/>
      <c r="M17"/>
      <c r="N17"/>
      <c r="O17"/>
      <c r="P17"/>
      <c r="Q17"/>
    </row>
    <row r="18" spans="1:18" ht="14.25" customHeight="1" x14ac:dyDescent="0.2">
      <c r="A18"/>
      <c r="B18"/>
      <c r="C18"/>
      <c r="D18" s="49"/>
      <c r="E18"/>
      <c r="F18"/>
      <c r="G18"/>
      <c r="H18"/>
      <c r="I18"/>
      <c r="J18"/>
      <c r="K18"/>
      <c r="L18"/>
      <c r="M18"/>
      <c r="N18"/>
      <c r="O18"/>
      <c r="P18"/>
      <c r="Q18"/>
    </row>
    <row r="19" spans="1:18" ht="14.25" customHeight="1" x14ac:dyDescent="0.2">
      <c r="A19" s="22"/>
      <c r="B19" s="22"/>
      <c r="C19" s="22"/>
      <c r="D19" s="22"/>
      <c r="E19" s="22"/>
      <c r="F19" s="22"/>
      <c r="G19" s="22"/>
      <c r="H19" s="22"/>
      <c r="I19" s="22"/>
      <c r="J19" s="22"/>
      <c r="K19" s="22"/>
      <c r="L19" s="22"/>
      <c r="M19" s="22"/>
      <c r="N19" s="22"/>
      <c r="O19" s="22"/>
      <c r="P19" s="22"/>
      <c r="R19" s="21"/>
    </row>
    <row r="20" spans="1:18" ht="14.25" customHeight="1" x14ac:dyDescent="0.2">
      <c r="A20" s="22"/>
      <c r="B20" s="22"/>
      <c r="C20" s="22"/>
      <c r="D20" s="22"/>
      <c r="E20" s="22"/>
      <c r="F20" s="22"/>
      <c r="G20" s="22"/>
      <c r="H20" s="22"/>
      <c r="I20" s="22"/>
      <c r="J20" s="22"/>
      <c r="K20" s="22"/>
      <c r="L20" s="22"/>
      <c r="M20" s="22"/>
      <c r="N20" s="22"/>
      <c r="O20" s="22"/>
      <c r="P20" s="22"/>
      <c r="R20" s="21"/>
    </row>
    <row r="21" spans="1:18" ht="14.25" customHeight="1" x14ac:dyDescent="0.2">
      <c r="A21" s="22"/>
      <c r="B21" s="22"/>
      <c r="C21" s="22"/>
      <c r="D21" s="22"/>
      <c r="E21" s="22"/>
      <c r="F21" s="22"/>
      <c r="G21" s="22"/>
      <c r="H21" s="22"/>
      <c r="I21" s="22"/>
      <c r="J21" s="22"/>
      <c r="K21" s="22"/>
      <c r="L21" s="22"/>
      <c r="M21" s="22"/>
      <c r="N21" s="22"/>
      <c r="O21" s="22"/>
      <c r="P21" s="22"/>
      <c r="R21" s="21"/>
    </row>
    <row r="22" spans="1:18" ht="14.25" customHeight="1" x14ac:dyDescent="0.2">
      <c r="A22" s="22"/>
      <c r="B22" s="22"/>
      <c r="C22" s="22"/>
      <c r="D22" s="22"/>
      <c r="E22" s="22"/>
      <c r="F22" s="22"/>
      <c r="G22" s="22"/>
      <c r="H22" s="22"/>
      <c r="I22" s="22"/>
      <c r="J22" s="22"/>
      <c r="K22" s="22"/>
      <c r="L22" s="22"/>
      <c r="M22" s="22"/>
      <c r="N22" s="22"/>
      <c r="O22" s="22"/>
      <c r="P22" s="22"/>
      <c r="R22" s="21"/>
    </row>
    <row r="23" spans="1:18" ht="24" customHeight="1" x14ac:dyDescent="0.2">
      <c r="A23" s="34" t="s">
        <v>1769</v>
      </c>
      <c r="B23"/>
      <c r="D23" s="32"/>
      <c r="E23" s="22"/>
      <c r="F23" s="22"/>
      <c r="G23" s="22"/>
      <c r="H23" s="22"/>
      <c r="I23" s="22"/>
      <c r="J23" s="22"/>
      <c r="K23" s="22"/>
      <c r="L23" s="22"/>
      <c r="M23" s="22"/>
      <c r="N23" s="22"/>
      <c r="O23" s="22"/>
      <c r="P23" s="22"/>
      <c r="Q23" s="22"/>
      <c r="R23" s="22"/>
    </row>
    <row r="24" spans="1:18" ht="14.25" customHeight="1" x14ac:dyDescent="0.2">
      <c r="A24" s="51" t="str">
        <f t="shared" ref="A24:R24" si="0">IF(ISBLANK(A$3), "", A$3)</f>
        <v>Customer category</v>
      </c>
      <c r="B24" s="51" t="str">
        <f t="shared" si="0"/>
        <v/>
      </c>
      <c r="C24" s="51" t="str">
        <f t="shared" si="0"/>
        <v>Settlement channel</v>
      </c>
      <c r="D24" s="51" t="str">
        <f t="shared" si="0"/>
        <v/>
      </c>
      <c r="E24" s="51" t="str">
        <f t="shared" si="0"/>
        <v>Payment scheme</v>
      </c>
      <c r="F24" s="51" t="str">
        <f t="shared" si="0"/>
        <v/>
      </c>
      <c r="G24" s="51" t="str">
        <f t="shared" si="0"/>
        <v>Initiation channel</v>
      </c>
      <c r="H24" s="51" t="str">
        <f t="shared" si="0"/>
        <v/>
      </c>
      <c r="I24" s="51" t="str">
        <f t="shared" si="0"/>
        <v>Consent form</v>
      </c>
      <c r="J24" s="51" t="str">
        <f t="shared" si="0"/>
        <v/>
      </c>
      <c r="K24" s="51" t="str">
        <f t="shared" si="0"/>
        <v>Fraud type</v>
      </c>
      <c r="L24" s="51" t="str">
        <f t="shared" si="0"/>
        <v/>
      </c>
      <c r="M24" s="51" t="str">
        <f t="shared" si="0"/>
        <v>Country of debtor's PSP</v>
      </c>
      <c r="N24" s="51" t="str">
        <f t="shared" si="0"/>
        <v/>
      </c>
      <c r="O24" s="51" t="str">
        <f t="shared" si="0"/>
        <v>Currency</v>
      </c>
      <c r="P24" s="51" t="str">
        <f t="shared" si="0"/>
        <v/>
      </c>
      <c r="Q24" s="51" t="str">
        <f t="shared" si="0"/>
        <v>Metric</v>
      </c>
      <c r="R24" s="51" t="str">
        <f t="shared" si="0"/>
        <v/>
      </c>
    </row>
    <row r="25" spans="1:18" ht="14.25" customHeight="1" x14ac:dyDescent="0.2">
      <c r="A25" s="31" t="s">
        <v>1078</v>
      </c>
      <c r="B25" s="31"/>
      <c r="C25" s="31" t="s">
        <v>1078</v>
      </c>
      <c r="D25" s="31"/>
      <c r="E25" s="31" t="s">
        <v>1078</v>
      </c>
      <c r="F25" s="31"/>
      <c r="G25" s="31" t="s">
        <v>1078</v>
      </c>
      <c r="H25" s="31"/>
      <c r="I25" s="31" t="s">
        <v>1078</v>
      </c>
      <c r="J25" s="31"/>
      <c r="K25" s="153" t="str">
        <f ca="1">HYPERLINK("#" &amp; CELL("address", Concepts!$A$71), "Unauthorised payment transaction")</f>
        <v>Unauthorised payment transaction</v>
      </c>
      <c r="L25" s="35" t="s">
        <v>1068</v>
      </c>
      <c r="M25" s="31" t="s">
        <v>1078</v>
      </c>
      <c r="N25" s="31"/>
      <c r="O25" s="31" t="s">
        <v>1078</v>
      </c>
      <c r="P25" s="31"/>
      <c r="Q25" s="31" t="s">
        <v>1078</v>
      </c>
      <c r="R25" s="31"/>
    </row>
    <row r="26" spans="1:18" ht="14.25" customHeight="1" x14ac:dyDescent="0.2">
      <c r="A26" s="31"/>
      <c r="B26" s="31"/>
      <c r="C26" s="31"/>
      <c r="D26" s="31"/>
      <c r="E26" s="31"/>
      <c r="F26" s="31"/>
      <c r="G26" s="31"/>
      <c r="H26" s="31"/>
      <c r="I26" s="31"/>
      <c r="J26" s="31"/>
      <c r="K26" s="153" t="str">
        <f ca="1">HYPERLINK("#" &amp; CELL("address", Concepts!$A$62), "Manipulation of the payer")</f>
        <v>Manipulation of the payer</v>
      </c>
      <c r="L26" s="35" t="s">
        <v>449</v>
      </c>
      <c r="M26" s="31"/>
      <c r="N26" s="31"/>
      <c r="O26" s="31"/>
      <c r="P26" s="31"/>
      <c r="Q26" s="31"/>
      <c r="R26" s="31"/>
    </row>
    <row r="27" spans="1:18" ht="14.25" customHeight="1" x14ac:dyDescent="0.2">
      <c r="A27" s="31"/>
      <c r="B27" s="31"/>
      <c r="C27" s="31"/>
      <c r="D27" s="31"/>
      <c r="E27" s="31"/>
      <c r="F27" s="31"/>
      <c r="G27" s="31"/>
      <c r="H27" s="31"/>
      <c r="I27" s="31"/>
      <c r="J27" s="31"/>
      <c r="K27" s="31"/>
      <c r="L27" s="31"/>
      <c r="M27" s="31"/>
      <c r="N27" s="31"/>
      <c r="O27" s="31"/>
      <c r="P27" s="31"/>
      <c r="Q27" s="31"/>
      <c r="R27" s="31"/>
    </row>
    <row r="28" spans="1:18" ht="14.25" customHeight="1" x14ac:dyDescent="0.2">
      <c r="A28" s="31"/>
      <c r="B28" s="31"/>
      <c r="C28" s="31"/>
      <c r="D28" s="31"/>
      <c r="E28" s="31"/>
      <c r="F28" s="31"/>
      <c r="G28" s="31"/>
      <c r="H28" s="31"/>
      <c r="I28" s="31"/>
      <c r="J28" s="31"/>
      <c r="K28" s="31"/>
      <c r="L28" s="31"/>
      <c r="M28" s="31" t="str">
        <f t="shared" ref="M28:R34" si="1">IF(M7="", "", M7)</f>
        <v/>
      </c>
      <c r="N28" s="31" t="str">
        <f t="shared" si="1"/>
        <v/>
      </c>
      <c r="O28" s="31" t="str">
        <f t="shared" si="1"/>
        <v/>
      </c>
      <c r="P28" s="31" t="str">
        <f t="shared" si="1"/>
        <v/>
      </c>
      <c r="Q28" s="31" t="str">
        <f t="shared" si="1"/>
        <v/>
      </c>
      <c r="R28" s="31" t="str">
        <f t="shared" si="1"/>
        <v/>
      </c>
    </row>
    <row r="29" spans="1:18" ht="14.25" customHeight="1" x14ac:dyDescent="0.2">
      <c r="A29" s="31"/>
      <c r="B29" s="31"/>
      <c r="C29" s="31"/>
      <c r="D29" s="31"/>
      <c r="E29" s="31"/>
      <c r="F29" s="31"/>
      <c r="G29" s="31"/>
      <c r="H29" s="31"/>
      <c r="I29" s="31"/>
      <c r="J29" s="31"/>
      <c r="K29" s="31"/>
      <c r="L29" s="31"/>
      <c r="M29" s="31" t="str">
        <f t="shared" si="1"/>
        <v/>
      </c>
      <c r="N29" s="31" t="str">
        <f t="shared" si="1"/>
        <v/>
      </c>
      <c r="O29" s="31" t="str">
        <f t="shared" si="1"/>
        <v/>
      </c>
      <c r="P29" s="31" t="str">
        <f t="shared" si="1"/>
        <v/>
      </c>
      <c r="Q29" s="31" t="str">
        <f t="shared" si="1"/>
        <v/>
      </c>
      <c r="R29" s="31" t="str">
        <f t="shared" si="1"/>
        <v/>
      </c>
    </row>
    <row r="30" spans="1:18" ht="14.25" customHeight="1" x14ac:dyDescent="0.2">
      <c r="A30" s="31"/>
      <c r="B30" s="31"/>
      <c r="C30" s="31"/>
      <c r="D30" s="31"/>
      <c r="E30" s="31"/>
      <c r="F30" s="31"/>
      <c r="G30" s="31"/>
      <c r="H30" s="31"/>
      <c r="I30" s="31"/>
      <c r="J30" s="31"/>
      <c r="K30" s="31"/>
      <c r="L30" s="31"/>
      <c r="M30" s="31" t="str">
        <f t="shared" si="1"/>
        <v/>
      </c>
      <c r="N30" s="31" t="str">
        <f t="shared" si="1"/>
        <v/>
      </c>
      <c r="O30" s="31" t="str">
        <f t="shared" si="1"/>
        <v/>
      </c>
      <c r="P30" s="31" t="str">
        <f t="shared" si="1"/>
        <v/>
      </c>
      <c r="Q30" s="31" t="str">
        <f t="shared" si="1"/>
        <v/>
      </c>
      <c r="R30" s="31" t="str">
        <f t="shared" si="1"/>
        <v/>
      </c>
    </row>
    <row r="31" spans="1:18" ht="14.25" customHeight="1" x14ac:dyDescent="0.2">
      <c r="A31" s="31"/>
      <c r="B31" s="31"/>
      <c r="C31" s="31"/>
      <c r="D31" s="31"/>
      <c r="E31" s="31"/>
      <c r="F31" s="31"/>
      <c r="G31" s="31"/>
      <c r="H31" s="31"/>
      <c r="I31" s="31"/>
      <c r="J31" s="31"/>
      <c r="K31" s="31"/>
      <c r="L31" s="31"/>
      <c r="M31" s="31" t="str">
        <f t="shared" si="1"/>
        <v/>
      </c>
      <c r="N31" s="31" t="str">
        <f t="shared" si="1"/>
        <v/>
      </c>
      <c r="O31" s="31" t="str">
        <f t="shared" si="1"/>
        <v/>
      </c>
      <c r="P31" s="31" t="str">
        <f t="shared" si="1"/>
        <v/>
      </c>
      <c r="Q31" s="31" t="str">
        <f t="shared" si="1"/>
        <v/>
      </c>
      <c r="R31" s="31" t="str">
        <f t="shared" si="1"/>
        <v/>
      </c>
    </row>
    <row r="32" spans="1:18" ht="14.25" customHeight="1" x14ac:dyDescent="0.2">
      <c r="A32" s="31"/>
      <c r="B32" s="31"/>
      <c r="C32" s="31"/>
      <c r="D32" s="31"/>
      <c r="E32" s="31"/>
      <c r="F32" s="31"/>
      <c r="G32" s="31"/>
      <c r="H32" s="31"/>
      <c r="I32" s="31"/>
      <c r="J32" s="31"/>
      <c r="K32" s="31"/>
      <c r="L32" s="31"/>
      <c r="M32" s="31" t="str">
        <f t="shared" si="1"/>
        <v/>
      </c>
      <c r="N32" s="31" t="str">
        <f t="shared" si="1"/>
        <v/>
      </c>
      <c r="O32" s="31" t="str">
        <f t="shared" si="1"/>
        <v/>
      </c>
      <c r="P32" s="31" t="str">
        <f t="shared" si="1"/>
        <v/>
      </c>
      <c r="Q32" s="31" t="str">
        <f t="shared" si="1"/>
        <v/>
      </c>
      <c r="R32" s="31" t="str">
        <f t="shared" si="1"/>
        <v/>
      </c>
    </row>
    <row r="33" spans="1:18" ht="14.25" customHeight="1" x14ac:dyDescent="0.2">
      <c r="A33" s="31"/>
      <c r="B33" s="31"/>
      <c r="C33" s="31"/>
      <c r="D33" s="31"/>
      <c r="E33" s="31"/>
      <c r="F33" s="31"/>
      <c r="G33" s="31"/>
      <c r="H33" s="31"/>
      <c r="I33" s="31"/>
      <c r="J33" s="31"/>
      <c r="K33" s="31"/>
      <c r="L33" s="31"/>
      <c r="M33" s="31" t="str">
        <f t="shared" si="1"/>
        <v/>
      </c>
      <c r="N33" s="31" t="str">
        <f t="shared" si="1"/>
        <v/>
      </c>
      <c r="O33" s="31" t="str">
        <f t="shared" si="1"/>
        <v/>
      </c>
      <c r="P33" s="31" t="str">
        <f t="shared" si="1"/>
        <v/>
      </c>
      <c r="Q33" s="31" t="str">
        <f t="shared" si="1"/>
        <v/>
      </c>
      <c r="R33" s="31" t="str">
        <f t="shared" si="1"/>
        <v/>
      </c>
    </row>
    <row r="34" spans="1:18" ht="14.25" customHeight="1" x14ac:dyDescent="0.2">
      <c r="A34" s="31"/>
      <c r="B34" s="31"/>
      <c r="C34" s="31"/>
      <c r="D34" s="31"/>
      <c r="E34" s="31"/>
      <c r="F34" s="31"/>
      <c r="G34" s="31"/>
      <c r="H34" s="31"/>
      <c r="I34" s="31"/>
      <c r="J34" s="31"/>
      <c r="K34" s="31"/>
      <c r="L34" s="31"/>
      <c r="M34" s="31" t="str">
        <f t="shared" si="1"/>
        <v/>
      </c>
      <c r="N34" s="31" t="str">
        <f t="shared" si="1"/>
        <v/>
      </c>
      <c r="O34" s="31" t="str">
        <f t="shared" si="1"/>
        <v/>
      </c>
      <c r="P34" s="31" t="str">
        <f t="shared" si="1"/>
        <v/>
      </c>
      <c r="Q34" s="31" t="str">
        <f t="shared" si="1"/>
        <v/>
      </c>
      <c r="R34" s="31" t="str">
        <f t="shared" si="1"/>
        <v/>
      </c>
    </row>
    <row r="35" spans="1:18" ht="14.25" customHeight="1" x14ac:dyDescent="0.2">
      <c r="A35" s="31"/>
      <c r="B35" s="31"/>
      <c r="C35" s="31"/>
      <c r="D35" s="31"/>
      <c r="E35" s="31"/>
      <c r="F35" s="31"/>
      <c r="G35" s="31"/>
      <c r="H35" s="31"/>
      <c r="I35" s="31"/>
      <c r="J35" s="31"/>
      <c r="K35" s="31"/>
      <c r="L35" s="31"/>
      <c r="M35" s="31"/>
      <c r="N35" s="31"/>
      <c r="O35" s="31"/>
      <c r="P35" s="31"/>
      <c r="Q35" s="33"/>
      <c r="R35" s="33"/>
    </row>
    <row r="36" spans="1:18" ht="14.25" customHeight="1" x14ac:dyDescent="0.2">
      <c r="Q36"/>
    </row>
    <row r="37" spans="1:18" x14ac:dyDescent="0.2">
      <c r="Q37"/>
    </row>
    <row r="38" spans="1:18" ht="15" x14ac:dyDescent="0.2">
      <c r="A38" s="39" t="s">
        <v>476</v>
      </c>
      <c r="Q38"/>
    </row>
    <row r="39" spans="1:18" x14ac:dyDescent="0.2">
      <c r="A39" s="244" t="str">
        <f ca="1">HYPERLINK("#" &amp; CELL("address", Concepts!$A$75), "See the definition of 'Direct debit' (payment instrument type).")</f>
        <v>See the definition of 'Direct debit' (payment instrument type).</v>
      </c>
      <c r="B39" s="199"/>
      <c r="C39" s="199"/>
      <c r="D39" s="199"/>
      <c r="E39" s="199"/>
      <c r="F39" s="199"/>
      <c r="G39" s="199"/>
      <c r="H39" s="199"/>
      <c r="I39" s="199"/>
      <c r="J39" s="199"/>
      <c r="K39" s="199"/>
      <c r="L39" s="199"/>
      <c r="M39" s="199"/>
      <c r="N39" s="199"/>
      <c r="O39" s="199"/>
      <c r="P39" s="199"/>
      <c r="Q39"/>
    </row>
    <row r="40" spans="1:18" x14ac:dyDescent="0.2">
      <c r="A40" s="243" t="s">
        <v>2470</v>
      </c>
      <c r="B40" s="199"/>
      <c r="C40" s="199"/>
      <c r="D40" s="199"/>
      <c r="E40" s="199"/>
      <c r="F40" s="199"/>
      <c r="G40" s="199"/>
      <c r="H40" s="199"/>
      <c r="I40" s="199"/>
      <c r="J40" s="199"/>
      <c r="K40" s="199"/>
      <c r="L40" s="199"/>
      <c r="M40" s="199"/>
      <c r="N40" s="199"/>
      <c r="O40" s="199"/>
      <c r="P40" s="199"/>
      <c r="Q40"/>
    </row>
    <row r="41" spans="1:18" x14ac:dyDescent="0.2">
      <c r="A41" s="21" t="s">
        <v>1913</v>
      </c>
    </row>
    <row r="42" spans="1:18" x14ac:dyDescent="0.2">
      <c r="A42" s="199" t="s">
        <v>2661</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59999389629810485"/>
  </sheetPr>
  <dimension ref="A1:L21"/>
  <sheetViews>
    <sheetView workbookViewId="0"/>
  </sheetViews>
  <sheetFormatPr defaultRowHeight="14.25" x14ac:dyDescent="0.2"/>
  <cols>
    <col min="1" max="1" width="27.875" style="21" customWidth="1"/>
    <col min="2" max="2" width="7.375" style="21" customWidth="1"/>
    <col min="3" max="3" width="28" style="21" customWidth="1"/>
    <col min="4" max="4" width="7.375" style="21" customWidth="1"/>
    <col min="5" max="5" width="26.625" style="21" bestFit="1" customWidth="1"/>
    <col min="6" max="6" width="7.375" style="21" customWidth="1"/>
    <col min="7" max="7" width="26.125" style="21" customWidth="1"/>
    <col min="8" max="8" width="7.625" style="21" customWidth="1"/>
    <col min="9" max="9" width="26.75" style="21" customWidth="1"/>
    <col min="10" max="10" width="12.625" style="21" customWidth="1"/>
    <col min="11" max="11" width="35.875" style="21" customWidth="1"/>
    <col min="12" max="12" width="12.5" customWidth="1"/>
    <col min="13" max="13" width="29.25" customWidth="1"/>
    <col min="14" max="14" width="6.25" bestFit="1" customWidth="1"/>
  </cols>
  <sheetData>
    <row r="1" spans="1:12" s="33" customFormat="1" x14ac:dyDescent="0.2">
      <c r="A1" s="61" t="str">
        <f ca="1">HYPERLINK("#" &amp; CELL("address",INDEX!$A$1), "Go back to INDEX")</f>
        <v>Go back to INDEX</v>
      </c>
      <c r="B1" s="43"/>
      <c r="C1" s="43"/>
      <c r="D1" s="43"/>
      <c r="E1" s="43"/>
      <c r="F1" s="43"/>
      <c r="G1" s="43"/>
      <c r="H1" s="43"/>
      <c r="I1" s="43"/>
      <c r="J1" s="43"/>
      <c r="K1" s="43"/>
    </row>
    <row r="2" spans="1:12" s="33" customFormat="1" ht="20.25" x14ac:dyDescent="0.2">
      <c r="A2" s="62" t="s">
        <v>1688</v>
      </c>
      <c r="B2" s="63"/>
      <c r="C2" s="43"/>
      <c r="D2" s="43"/>
      <c r="E2" s="43"/>
      <c r="F2" s="43"/>
      <c r="G2" s="43"/>
      <c r="H2" s="43"/>
      <c r="I2" s="43"/>
      <c r="J2" s="43"/>
      <c r="K2" s="43"/>
      <c r="L2" s="43"/>
    </row>
    <row r="3" spans="1:12" s="33" customFormat="1" ht="15" x14ac:dyDescent="0.2">
      <c r="A3" s="51" t="s">
        <v>906</v>
      </c>
      <c r="B3" s="51"/>
      <c r="C3" s="51" t="s">
        <v>65</v>
      </c>
      <c r="D3" s="51"/>
      <c r="E3" s="51" t="s">
        <v>898</v>
      </c>
      <c r="F3" s="51"/>
      <c r="G3" s="51" t="s">
        <v>749</v>
      </c>
      <c r="H3" s="51"/>
      <c r="I3" s="51" t="s">
        <v>361</v>
      </c>
      <c r="J3" s="51"/>
      <c r="K3" s="51" t="s">
        <v>744</v>
      </c>
      <c r="L3" s="51"/>
    </row>
    <row r="4" spans="1:12" s="33" customFormat="1" ht="15" customHeight="1" x14ac:dyDescent="0.2">
      <c r="A4" s="155" t="str">
        <f ca="1">HYPERLINK("#" &amp; CELL("address", Concepts!$A$6), "MFIs:")</f>
        <v>MFIs:</v>
      </c>
      <c r="B4" s="49"/>
      <c r="C4" s="37" t="s">
        <v>737</v>
      </c>
      <c r="D4" s="49"/>
      <c r="E4" s="163" t="str">
        <f ca="1">HYPERLINK("#" &amp; CELL("address", Concepts!$A$67), "SEPA Direct Debit Core")</f>
        <v>SEPA Direct Debit Core</v>
      </c>
      <c r="F4" s="35" t="s">
        <v>1497</v>
      </c>
      <c r="G4" s="148" t="str">
        <f ca="1">HYPERLINK("#" &amp; CELL("address", Concepts!$A$145), "2-letter ISO 3166 country code")</f>
        <v>2-letter ISO 3166 country code</v>
      </c>
      <c r="H4" s="49" t="s">
        <v>360</v>
      </c>
      <c r="I4" s="160" t="str">
        <f ca="1">HYPERLINK("#" &amp; CELL("address", Concepts!$A$146), "3-letter ISO 4217 currency code")</f>
        <v>3-letter ISO 4217 currency code</v>
      </c>
      <c r="J4" s="49" t="s">
        <v>362</v>
      </c>
      <c r="K4" s="148" t="str">
        <f ca="1">HYPERLINK("#" &amp; CELL("address", Concepts!$A$147), "Number of transactions ")</f>
        <v xml:space="preserve">Number of transactions </v>
      </c>
      <c r="L4" s="49" t="s">
        <v>389</v>
      </c>
    </row>
    <row r="5" spans="1:12" s="33" customFormat="1" ht="15" customHeight="1" x14ac:dyDescent="0.2">
      <c r="A5" s="160" t="str">
        <f ca="1">HYPERLINK("#" &amp; CELL("address", Concepts!$A$7), "╠═ Credit institution")</f>
        <v>╠═ Credit institution</v>
      </c>
      <c r="B5" s="49" t="s">
        <v>356</v>
      </c>
      <c r="C5" t="s">
        <v>2653</v>
      </c>
      <c r="D5" s="49" t="s">
        <v>45</v>
      </c>
      <c r="E5" s="163" t="str">
        <f ca="1">HYPERLINK("#" &amp; CELL("address", Concepts!$A$68), "SEPA Direct Debit B2B")</f>
        <v>SEPA Direct Debit B2B</v>
      </c>
      <c r="F5" s="35" t="s">
        <v>1498</v>
      </c>
      <c r="G5"/>
      <c r="H5"/>
      <c r="I5"/>
      <c r="J5"/>
      <c r="K5" s="148" t="str">
        <f ca="1">HYPERLINK("#" &amp; CELL("address", Concepts!$A$148), "Value of transactions")</f>
        <v>Value of transactions</v>
      </c>
      <c r="L5" s="49" t="s">
        <v>390</v>
      </c>
    </row>
    <row r="6" spans="1:12" s="33" customFormat="1" ht="15" customHeight="1" x14ac:dyDescent="0.2">
      <c r="A6" s="160" t="str">
        <f ca="1">HYPERLINK("#" &amp; CELL("address", Concepts!$A$8), "╠═ Monetary fund")</f>
        <v>╠═ Monetary fund</v>
      </c>
      <c r="B6" s="49" t="s">
        <v>357</v>
      </c>
      <c r="C6" t="s">
        <v>1896</v>
      </c>
      <c r="D6" s="49" t="s">
        <v>47</v>
      </c>
      <c r="E6" s="163" t="str">
        <f ca="1">HYPERLINK("#" &amp; CELL("address", Concepts!$A$28), "Non-SEPA scheme")</f>
        <v>Non-SEPA scheme</v>
      </c>
      <c r="F6" s="35" t="s">
        <v>900</v>
      </c>
    </row>
    <row r="7" spans="1:12" s="33" customFormat="1" ht="15" customHeight="1" x14ac:dyDescent="0.2">
      <c r="A7" s="160" t="str">
        <f ca="1">HYPERLINK("#" &amp; CELL("address", Concepts!$A$9), "╠═ Electronic money institution ")</f>
        <v xml:space="preserve">╠═ Electronic money institution </v>
      </c>
      <c r="B7" s="49" t="s">
        <v>475</v>
      </c>
      <c r="C7" t="s">
        <v>1897</v>
      </c>
      <c r="D7" s="49" t="s">
        <v>49</v>
      </c>
      <c r="E7" s="163" t="str">
        <f ca="1">HYPERLINK("#" &amp; CELL("address", Concepts!$A$29), "Not applicable ")</f>
        <v xml:space="preserve">Not applicable </v>
      </c>
      <c r="F7" s="35" t="s">
        <v>761</v>
      </c>
    </row>
    <row r="8" spans="1:12" s="33" customFormat="1" ht="15" customHeight="1" x14ac:dyDescent="0.2">
      <c r="A8" s="160" t="str">
        <f ca="1">HYPERLINK("#" &amp; CELL("address", Concepts!$A$13), "╠═ Payment institution")</f>
        <v>╠═ Payment institution</v>
      </c>
      <c r="B8" s="49" t="s">
        <v>1015</v>
      </c>
      <c r="C8" t="s">
        <v>1898</v>
      </c>
      <c r="D8" s="49" t="s">
        <v>51</v>
      </c>
    </row>
    <row r="9" spans="1:12" ht="15" customHeight="1" x14ac:dyDescent="0.2">
      <c r="A9" s="160" t="str">
        <f ca="1">HYPERLINK("#" &amp; CELL("address", Concepts!$A$10), "╚═ Other MFI")</f>
        <v>╚═ Other MFI</v>
      </c>
      <c r="B9" s="49" t="s">
        <v>470</v>
      </c>
      <c r="C9" t="s">
        <v>2383</v>
      </c>
      <c r="D9" s="49" t="s">
        <v>53</v>
      </c>
      <c r="E9"/>
      <c r="F9"/>
      <c r="G9"/>
      <c r="H9"/>
      <c r="I9"/>
      <c r="J9"/>
      <c r="K9"/>
    </row>
    <row r="10" spans="1:12" ht="15" customHeight="1" x14ac:dyDescent="0.2">
      <c r="A10" s="174" t="str">
        <f ca="1">HYPERLINK("#" &amp; CELL("address", Concepts!$A$11), "Non-MFIs:")</f>
        <v>Non-MFIs:</v>
      </c>
      <c r="B10" s="49"/>
      <c r="C10" s="160" t="str">
        <f ca="1">HYPERLINK("#" &amp; CELL("address", Concepts!$A$20), "On-us")</f>
        <v>On-us</v>
      </c>
      <c r="D10" s="49" t="s">
        <v>55</v>
      </c>
      <c r="E10"/>
      <c r="F10"/>
      <c r="G10"/>
      <c r="H10"/>
      <c r="I10"/>
      <c r="J10"/>
      <c r="K10"/>
    </row>
    <row r="11" spans="1:12" ht="15" customHeight="1" x14ac:dyDescent="0.2">
      <c r="A11" s="160" t="str">
        <f ca="1">HYPERLINK("#" &amp; CELL("address", Concepts!$A$12), "╠═ Non-monetary fund")</f>
        <v>╠═ Non-monetary fund</v>
      </c>
      <c r="B11" s="49" t="s">
        <v>352</v>
      </c>
      <c r="C11" s="160" t="str">
        <f ca="1">HYPERLINK("#" &amp; CELL("address", Concepts!$A$23), "PSP LU")</f>
        <v>PSP LU</v>
      </c>
      <c r="D11" s="49" t="s">
        <v>60</v>
      </c>
      <c r="E11"/>
      <c r="F11"/>
      <c r="G11"/>
      <c r="H11"/>
      <c r="I11"/>
      <c r="J11"/>
      <c r="K11"/>
    </row>
    <row r="12" spans="1:12" ht="15" customHeight="1" x14ac:dyDescent="0.2">
      <c r="A12" s="160" t="str">
        <f ca="1">HYPERLINK("#" &amp; CELL("address", Concepts!$A$14), "╠═ Households and NPISHs")</f>
        <v>╠═ Households and NPISHs</v>
      </c>
      <c r="B12" s="49" t="s">
        <v>738</v>
      </c>
      <c r="C12" s="160" t="str">
        <f ca="1">HYPERLINK("#" &amp; CELL("address", Concepts!$A$24), "PSP non-LU")</f>
        <v>PSP non-LU</v>
      </c>
      <c r="D12" s="49" t="s">
        <v>62</v>
      </c>
      <c r="E12"/>
      <c r="F12"/>
      <c r="G12"/>
      <c r="H12"/>
      <c r="I12"/>
      <c r="J12"/>
      <c r="K12"/>
    </row>
    <row r="13" spans="1:12" ht="15" customHeight="1" x14ac:dyDescent="0.2">
      <c r="A13" s="160" t="str">
        <f ca="1">HYPERLINK("#" &amp; CELL("address", Concepts!$A$15), "╠═ Non-financial corporations")</f>
        <v>╠═ Non-financial corporations</v>
      </c>
      <c r="B13" s="49" t="s">
        <v>739</v>
      </c>
      <c r="C13" s="160" t="str">
        <f ca="1">HYPERLINK("#" &amp; CELL("address", Concepts!$A$25), "Other")</f>
        <v>Other</v>
      </c>
      <c r="D13" s="49" t="s">
        <v>364</v>
      </c>
      <c r="E13"/>
      <c r="F13"/>
      <c r="G13"/>
      <c r="H13"/>
      <c r="I13"/>
      <c r="J13"/>
      <c r="K13"/>
    </row>
    <row r="14" spans="1:12" ht="15" customHeight="1" x14ac:dyDescent="0.2">
      <c r="A14" s="160" t="str">
        <f ca="1">HYPERLINK("#" &amp; CELL("address", Concepts!$A$16), "╚═ Other non-MFI")</f>
        <v>╚═ Other non-MFI</v>
      </c>
      <c r="B14" s="49" t="s">
        <v>472</v>
      </c>
      <c r="E14"/>
      <c r="F14"/>
      <c r="G14"/>
      <c r="H14"/>
      <c r="I14"/>
      <c r="J14"/>
      <c r="K14"/>
    </row>
    <row r="15" spans="1:12" ht="15" customHeight="1" x14ac:dyDescent="0.2">
      <c r="A15" s="175" t="str">
        <f ca="1">HYPERLINK("#" &amp; CELL("address", Concepts!$A$17), "Own account operation")</f>
        <v>Own account operation</v>
      </c>
      <c r="B15" s="49" t="s">
        <v>474</v>
      </c>
      <c r="E15"/>
      <c r="F15"/>
      <c r="G15"/>
      <c r="H15"/>
      <c r="I15"/>
      <c r="J15"/>
      <c r="K15"/>
    </row>
    <row r="16" spans="1:12" ht="15" customHeight="1" x14ac:dyDescent="0.2">
      <c r="A16" s="160" t="str">
        <f ca="1">HYPERLINK("#" &amp; CELL("address", Concepts!$A$18), "Unknown")</f>
        <v>Unknown</v>
      </c>
      <c r="B16" s="49" t="s">
        <v>350</v>
      </c>
      <c r="E16"/>
      <c r="F16"/>
      <c r="G16"/>
      <c r="H16"/>
      <c r="I16"/>
      <c r="J16"/>
      <c r="K16"/>
    </row>
    <row r="17" spans="1:11" ht="15" customHeight="1" x14ac:dyDescent="0.2">
      <c r="A17"/>
      <c r="B17" s="49"/>
      <c r="K17"/>
    </row>
    <row r="18" spans="1:11" x14ac:dyDescent="0.2">
      <c r="I18"/>
      <c r="J18"/>
      <c r="K18"/>
    </row>
    <row r="19" spans="1:11" ht="15" x14ac:dyDescent="0.2">
      <c r="A19" s="39" t="s">
        <v>476</v>
      </c>
      <c r="K19"/>
    </row>
    <row r="20" spans="1:11" x14ac:dyDescent="0.2">
      <c r="A20" s="244" t="str">
        <f ca="1">HYPERLINK("#" &amp; CELL("address", Concepts!$A$75), "See the definition of 'Direct debit' (payment instrument type).")</f>
        <v>See the definition of 'Direct debit' (payment instrument type).</v>
      </c>
      <c r="K20"/>
    </row>
    <row r="21" spans="1:11" x14ac:dyDescent="0.2">
      <c r="A21" s="42"/>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R18"/>
  <sheetViews>
    <sheetView workbookViewId="0"/>
  </sheetViews>
  <sheetFormatPr defaultRowHeight="15" x14ac:dyDescent="0.2"/>
  <cols>
    <col min="1" max="1" width="26" customWidth="1"/>
    <col min="2" max="2" width="10" customWidth="1"/>
    <col min="3" max="3" width="21.5" bestFit="1" customWidth="1"/>
    <col min="4" max="4" width="9.375" customWidth="1"/>
    <col min="5" max="5" width="27.375" customWidth="1"/>
    <col min="6" max="6" width="9.375" customWidth="1"/>
    <col min="7" max="7" width="28.375" customWidth="1"/>
    <col min="8" max="8" width="7" customWidth="1"/>
    <col min="9" max="9" width="33.75" customWidth="1"/>
    <col min="10" max="10" width="8" style="49" customWidth="1"/>
    <col min="11" max="11" width="30" bestFit="1" customWidth="1"/>
    <col min="13" max="13" width="30" bestFit="1" customWidth="1"/>
    <col min="15" max="15" width="27.25" bestFit="1" customWidth="1"/>
    <col min="16" max="16" width="13.125" customWidth="1"/>
    <col min="17" max="17" width="21.375" customWidth="1"/>
  </cols>
  <sheetData>
    <row r="1" spans="1:18" x14ac:dyDescent="0.2">
      <c r="A1" s="36" t="str">
        <f ca="1">HYPERLINK("#" &amp; CELL("address",INDEX!$A$1), "Go back to INDEX")</f>
        <v>Go back to INDEX</v>
      </c>
    </row>
    <row r="2" spans="1:18" ht="20.25" x14ac:dyDescent="0.2">
      <c r="A2" s="34" t="s">
        <v>1448</v>
      </c>
    </row>
    <row r="3" spans="1:18" x14ac:dyDescent="0.2">
      <c r="A3" s="51" t="s">
        <v>898</v>
      </c>
      <c r="B3" s="51"/>
      <c r="C3" s="51" t="s">
        <v>902</v>
      </c>
      <c r="D3" s="51"/>
      <c r="E3" s="51" t="s">
        <v>906</v>
      </c>
      <c r="F3" s="51"/>
      <c r="G3" s="51" t="s">
        <v>65</v>
      </c>
      <c r="H3" s="51"/>
      <c r="I3" s="51" t="s">
        <v>241</v>
      </c>
      <c r="J3" s="54"/>
      <c r="K3" s="51" t="s">
        <v>750</v>
      </c>
      <c r="L3" s="51"/>
      <c r="M3" s="51" t="s">
        <v>749</v>
      </c>
      <c r="N3" s="51"/>
      <c r="O3" s="51" t="s">
        <v>361</v>
      </c>
      <c r="P3" s="51"/>
      <c r="Q3" s="51" t="s">
        <v>744</v>
      </c>
      <c r="R3" s="51"/>
    </row>
    <row r="4" spans="1:18" x14ac:dyDescent="0.2">
      <c r="A4" s="160" t="str">
        <f ca="1">HYPERLINK("#" &amp; CELL("address", Concepts!$A$26), "SEPA Credit transfer")</f>
        <v>SEPA Credit transfer</v>
      </c>
      <c r="B4" s="49" t="s">
        <v>471</v>
      </c>
      <c r="C4" s="160" t="str">
        <f ca="1">HYPERLINK("#" &amp; CELL("address", Concepts!$A$76), "Debtor's PSP")</f>
        <v>Debtor's PSP</v>
      </c>
      <c r="D4" s="49" t="s">
        <v>781</v>
      </c>
      <c r="E4" s="164" t="str">
        <f ca="1">HYPERLINK("#" &amp; CELL("address", Concepts!$A$6), "MFIs:")</f>
        <v>MFIs:</v>
      </c>
      <c r="F4" s="49"/>
      <c r="G4" s="37" t="s">
        <v>737</v>
      </c>
      <c r="H4" s="49"/>
      <c r="I4" s="66" t="s">
        <v>1476</v>
      </c>
      <c r="K4" s="37" t="s">
        <v>903</v>
      </c>
      <c r="M4" s="37" t="s">
        <v>903</v>
      </c>
      <c r="O4" s="160" t="str">
        <f ca="1">HYPERLINK("#" &amp; CELL("address", Concepts!$A$146), "3-letter ISO 4217 currency code")</f>
        <v>3-letter ISO 4217 currency code</v>
      </c>
      <c r="P4" s="49" t="s">
        <v>362</v>
      </c>
      <c r="Q4" s="160" t="str">
        <f ca="1">HYPERLINK("#" &amp; CELL("address", Concepts!$A$147), "Number of transactions ")</f>
        <v xml:space="preserve">Number of transactions </v>
      </c>
      <c r="R4" s="49" t="s">
        <v>389</v>
      </c>
    </row>
    <row r="5" spans="1:18" x14ac:dyDescent="0.2">
      <c r="A5" s="160" t="str">
        <f ca="1">HYPERLINK("#" &amp; CELL("address", Concepts!$A$27), "SEPA Instant credit transfer")</f>
        <v>SEPA Instant credit transfer</v>
      </c>
      <c r="B5" s="49" t="s">
        <v>466</v>
      </c>
      <c r="C5" s="160" t="str">
        <f ca="1">HYPERLINK("#" &amp; CELL("address", Concepts!$A$77), "Creditor's PSP")</f>
        <v>Creditor's PSP</v>
      </c>
      <c r="D5" s="49" t="s">
        <v>782</v>
      </c>
      <c r="E5" s="160" t="str">
        <f ca="1">HYPERLINK("#" &amp; CELL("address", Concepts!$A$7), "╠═ Credit institution")</f>
        <v>╠═ Credit institution</v>
      </c>
      <c r="F5" s="49" t="s">
        <v>356</v>
      </c>
      <c r="G5" t="s">
        <v>2653</v>
      </c>
      <c r="H5" s="49" t="s">
        <v>45</v>
      </c>
      <c r="I5" s="161" t="str">
        <f ca="1">HYPERLINK("#" &amp; CELL("address", Concepts!$A$78), "╠═ Return (SCT)")</f>
        <v>╠═ Return (SCT)</v>
      </c>
      <c r="J5" s="49" t="s">
        <v>784</v>
      </c>
      <c r="K5" s="52" t="s">
        <v>773</v>
      </c>
      <c r="L5" s="49" t="s">
        <v>772</v>
      </c>
      <c r="M5" s="162" t="str">
        <f ca="1">HYPERLINK("#" &amp; CELL("address", Concepts!$A$145), "2-letter ISO 3166 country code")</f>
        <v>2-letter ISO 3166 country code</v>
      </c>
      <c r="N5" s="49" t="s">
        <v>360</v>
      </c>
      <c r="Q5" s="160" t="str">
        <f ca="1">HYPERLINK("#" &amp; CELL("address", Concepts!$A$148), "Value of transactions")</f>
        <v>Value of transactions</v>
      </c>
      <c r="R5" s="49" t="s">
        <v>390</v>
      </c>
    </row>
    <row r="6" spans="1:18" x14ac:dyDescent="0.2">
      <c r="A6" s="160" t="str">
        <f ca="1">HYPERLINK("#" &amp; CELL("address", Concepts!$A$67), "SEPA Direct debit Core")</f>
        <v>SEPA Direct debit Core</v>
      </c>
      <c r="B6" s="49" t="s">
        <v>1497</v>
      </c>
      <c r="E6" s="160" t="str">
        <f ca="1">HYPERLINK("#" &amp; CELL("address", Concepts!$A$8), "╠═ Monetary fund")</f>
        <v>╠═ Monetary fund</v>
      </c>
      <c r="F6" s="49" t="s">
        <v>357</v>
      </c>
      <c r="G6" t="s">
        <v>1896</v>
      </c>
      <c r="H6" s="49" t="s">
        <v>47</v>
      </c>
      <c r="I6" s="161" t="str">
        <f ca="1">HYPERLINK("#" &amp; CELL("address", Concepts!$A$79), "╚═ Recall (SCT)")</f>
        <v>╚═ Recall (SCT)</v>
      </c>
      <c r="J6" s="49" t="s">
        <v>783</v>
      </c>
      <c r="K6" s="37" t="s">
        <v>904</v>
      </c>
      <c r="M6" s="37" t="s">
        <v>904</v>
      </c>
    </row>
    <row r="7" spans="1:18" x14ac:dyDescent="0.2">
      <c r="A7" s="160" t="str">
        <f ca="1">HYPERLINK("#" &amp; CELL("address", Concepts!$A$68), "SEPA Direct debit B2B")</f>
        <v>SEPA Direct debit B2B</v>
      </c>
      <c r="B7" s="49" t="s">
        <v>1498</v>
      </c>
      <c r="E7" s="160" t="str">
        <f ca="1">HYPERLINK("#" &amp; CELL("address", Concepts!$A$9), "╠═ Electronic money institution ")</f>
        <v xml:space="preserve">╠═ Electronic money institution </v>
      </c>
      <c r="F7" s="49" t="s">
        <v>475</v>
      </c>
      <c r="G7" t="s">
        <v>1897</v>
      </c>
      <c r="H7" s="49" t="s">
        <v>49</v>
      </c>
      <c r="I7" s="37" t="s">
        <v>1478</v>
      </c>
      <c r="K7" s="162" t="str">
        <f ca="1">HYPERLINK("#" &amp; CELL("address", Concepts!$A$145), "2-letter ISO 3166 country code")</f>
        <v>2-letter ISO 3166 country code</v>
      </c>
      <c r="L7" s="49" t="s">
        <v>360</v>
      </c>
      <c r="M7" s="52" t="s">
        <v>773</v>
      </c>
      <c r="N7" s="49" t="s">
        <v>772</v>
      </c>
    </row>
    <row r="8" spans="1:18" x14ac:dyDescent="0.2">
      <c r="E8" s="160" t="str">
        <f ca="1">HYPERLINK("#" &amp; CELL("address", Concepts!$A$13), "╠═ Payment institution")</f>
        <v>╠═ Payment institution</v>
      </c>
      <c r="F8" s="49" t="s">
        <v>1015</v>
      </c>
      <c r="G8" t="s">
        <v>1898</v>
      </c>
      <c r="H8" s="49" t="s">
        <v>51</v>
      </c>
      <c r="I8" s="160" t="str">
        <f ca="1">HYPERLINK("#" &amp; CELL("address", Concepts!$A$80), "╠═ Request for recall by the originator")</f>
        <v>╠═ Request for recall by the originator</v>
      </c>
      <c r="J8" s="49" t="s">
        <v>1479</v>
      </c>
    </row>
    <row r="9" spans="1:18" x14ac:dyDescent="0.2">
      <c r="E9" s="160" t="str">
        <f ca="1">HYPERLINK("#" &amp; CELL("address", Concepts!$A$10), "╚═ Other MFI")</f>
        <v>╚═ Other MFI</v>
      </c>
      <c r="F9" s="49" t="s">
        <v>470</v>
      </c>
      <c r="G9" t="s">
        <v>1899</v>
      </c>
      <c r="H9" s="49" t="s">
        <v>53</v>
      </c>
      <c r="I9" s="160" t="str">
        <f ca="1">HYPERLINK("#" &amp; CELL("address", Concepts!$A$81), "╚═ Recall (SCTInst)")</f>
        <v>╚═ Recall (SCTInst)</v>
      </c>
      <c r="J9" s="49" t="s">
        <v>1480</v>
      </c>
    </row>
    <row r="10" spans="1:18" x14ac:dyDescent="0.2">
      <c r="E10" s="164" t="str">
        <f ca="1">HYPERLINK("#" &amp; CELL("address", Concepts!$A$11), "Non-MFIs:")</f>
        <v>Non-MFIs:</v>
      </c>
      <c r="F10" s="49"/>
      <c r="G10" s="37" t="s">
        <v>921</v>
      </c>
      <c r="H10" s="49"/>
      <c r="I10" s="66" t="s">
        <v>1477</v>
      </c>
    </row>
    <row r="11" spans="1:18" x14ac:dyDescent="0.2">
      <c r="E11" s="160" t="str">
        <f ca="1">HYPERLINK("#" &amp; CELL("address", Concepts!$A$12), "╠═ Non-monetary fund")</f>
        <v>╠═ Non-monetary fund</v>
      </c>
      <c r="F11" s="49" t="s">
        <v>352</v>
      </c>
      <c r="G11" t="s">
        <v>1900</v>
      </c>
      <c r="H11" s="49" t="s">
        <v>732</v>
      </c>
      <c r="I11" s="161" t="str">
        <f ca="1">HYPERLINK("#" &amp; CELL("address", Concepts!$A$82), "╠═ Reject")</f>
        <v>╠═ Reject</v>
      </c>
      <c r="J11" s="49" t="s">
        <v>786</v>
      </c>
    </row>
    <row r="12" spans="1:18" x14ac:dyDescent="0.2">
      <c r="E12" s="160" t="str">
        <f ca="1">HYPERLINK("#" &amp; CELL("address", Concepts!$A$14), "╠═ Households and NPISHs")</f>
        <v>╠═ Households and NPISHs</v>
      </c>
      <c r="F12" s="49" t="s">
        <v>738</v>
      </c>
      <c r="G12" t="s">
        <v>1901</v>
      </c>
      <c r="H12" s="49" t="s">
        <v>798</v>
      </c>
      <c r="I12" s="161" t="str">
        <f ca="1">HYPERLINK("#" &amp; CELL("address", Concepts!$A$83), "╠═ Return (SDD)")</f>
        <v>╠═ Return (SDD)</v>
      </c>
      <c r="J12" s="49" t="s">
        <v>785</v>
      </c>
    </row>
    <row r="13" spans="1:18" x14ac:dyDescent="0.2">
      <c r="E13" s="160" t="str">
        <f ca="1">HYPERLINK("#" &amp; CELL("address", Concepts!$A$15), "╠═ Non-financial corporations")</f>
        <v>╠═ Non-financial corporations</v>
      </c>
      <c r="F13" s="49" t="s">
        <v>739</v>
      </c>
      <c r="G13" s="160" t="str">
        <f ca="1">HYPERLINK("#" &amp; CELL("address", Concepts!$A$19), "║╚═ Other instant ")</f>
        <v xml:space="preserve">║╚═ Other instant </v>
      </c>
      <c r="H13" s="49" t="s">
        <v>736</v>
      </c>
      <c r="I13" s="161" t="str">
        <f ca="1">HYPERLINK("#" &amp; CELL("address", Concepts!$A$84), "╠═ Reversal")</f>
        <v>╠═ Reversal</v>
      </c>
      <c r="J13" s="49" t="s">
        <v>787</v>
      </c>
    </row>
    <row r="14" spans="1:18" x14ac:dyDescent="0.2">
      <c r="E14" s="160" t="str">
        <f ca="1">HYPERLINK("#" &amp; CELL("address", Concepts!$A$16), "╚═ Other non-MFI")</f>
        <v>╚═ Other non-MFI</v>
      </c>
      <c r="F14" s="49" t="s">
        <v>472</v>
      </c>
      <c r="G14" s="160" t="str">
        <f ca="1">HYPERLINK("#" &amp; CELL("address", Concepts!$A$20), "On-us")</f>
        <v>On-us</v>
      </c>
      <c r="H14" s="49" t="s">
        <v>55</v>
      </c>
      <c r="I14" s="161" t="str">
        <f ca="1">HYPERLINK("#" &amp; CELL("address", Concepts!$A$85), "╠═ Refund")</f>
        <v>╠═ Refund</v>
      </c>
      <c r="J14" s="49" t="s">
        <v>788</v>
      </c>
    </row>
    <row r="15" spans="1:18" x14ac:dyDescent="0.2">
      <c r="E15" s="160" t="str">
        <f ca="1">HYPERLINK("#" &amp; CELL("address", Concepts!$A$17), "Own account operation")</f>
        <v>Own account operation</v>
      </c>
      <c r="F15" s="49" t="s">
        <v>474</v>
      </c>
      <c r="G15" s="160" t="str">
        <f ca="1">HYPERLINK("#" &amp; CELL("address", Concepts!$A$23), "PSP LU")</f>
        <v>PSP LU</v>
      </c>
      <c r="H15" s="49" t="s">
        <v>60</v>
      </c>
      <c r="I15" s="161" t="str">
        <f ca="1">HYPERLINK("#" &amp; CELL("address", Concepts!$A$86), "╚═ Request for cancellation")</f>
        <v>╚═ Request for cancellation</v>
      </c>
      <c r="J15" s="49" t="s">
        <v>789</v>
      </c>
    </row>
    <row r="16" spans="1:18" x14ac:dyDescent="0.2">
      <c r="E16" s="160" t="str">
        <f ca="1">HYPERLINK("#" &amp; CELL("address", Concepts!$A$18), "Unknown")</f>
        <v>Unknown</v>
      </c>
      <c r="F16" s="49" t="s">
        <v>350</v>
      </c>
      <c r="G16" s="160" t="str">
        <f ca="1">HYPERLINK("#" &amp; CELL("address", Concepts!$A$24), "PSP non-LU")</f>
        <v>PSP non-LU</v>
      </c>
      <c r="H16" s="49" t="s">
        <v>62</v>
      </c>
    </row>
    <row r="17" spans="6:8" x14ac:dyDescent="0.2">
      <c r="F17" s="49"/>
      <c r="G17" s="160" t="str">
        <f ca="1">HYPERLINK("#" &amp; CELL("address", Concepts!$A$25), "Other")</f>
        <v>Other</v>
      </c>
      <c r="H17" s="49" t="s">
        <v>364</v>
      </c>
    </row>
    <row r="18" spans="6:8" x14ac:dyDescent="0.2">
      <c r="F18" s="4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N43"/>
  <sheetViews>
    <sheetView zoomScaleNormal="100" workbookViewId="0"/>
  </sheetViews>
  <sheetFormatPr defaultRowHeight="14.25" x14ac:dyDescent="0.2"/>
  <cols>
    <col min="1" max="1" width="25.75" customWidth="1"/>
    <col min="2" max="2" width="7.25" customWidth="1"/>
    <col min="3" max="3" width="23.5" customWidth="1"/>
    <col min="4" max="4" width="6.875" customWidth="1"/>
    <col min="5" max="5" width="27.5" customWidth="1"/>
    <col min="6" max="6" width="7" customWidth="1"/>
    <col min="7" max="7" width="31.125" customWidth="1"/>
    <col min="8" max="8" width="8.5" customWidth="1"/>
    <col min="9" max="9" width="30.5" customWidth="1"/>
    <col min="11" max="11" width="27.25" bestFit="1" customWidth="1"/>
    <col min="12" max="12" width="13.875" customWidth="1"/>
    <col min="13" max="13" width="20.625" bestFit="1" customWidth="1"/>
    <col min="14" max="14" width="8.5" customWidth="1"/>
  </cols>
  <sheetData>
    <row r="1" spans="1:14" x14ac:dyDescent="0.2">
      <c r="A1" s="36" t="str">
        <f ca="1">HYPERLINK("#" &amp; CELL("address",INDEX!$A$1), "Go back to INDEX")</f>
        <v>Go back to INDEX</v>
      </c>
    </row>
    <row r="2" spans="1:14" ht="20.25" x14ac:dyDescent="0.2">
      <c r="A2" s="34" t="s">
        <v>1447</v>
      </c>
      <c r="B2" s="34"/>
    </row>
    <row r="3" spans="1:14" ht="15" x14ac:dyDescent="0.2">
      <c r="A3" s="51" t="s">
        <v>1423</v>
      </c>
      <c r="B3" s="51"/>
      <c r="C3" s="51" t="s">
        <v>902</v>
      </c>
      <c r="D3" s="51"/>
      <c r="E3" s="51" t="s">
        <v>769</v>
      </c>
      <c r="F3" s="51"/>
      <c r="G3" s="51" t="s">
        <v>750</v>
      </c>
      <c r="H3" s="51"/>
      <c r="I3" s="51" t="s">
        <v>749</v>
      </c>
      <c r="J3" s="51"/>
      <c r="K3" s="51" t="s">
        <v>361</v>
      </c>
      <c r="L3" s="51"/>
      <c r="M3" s="51" t="s">
        <v>744</v>
      </c>
      <c r="N3" s="51"/>
    </row>
    <row r="4" spans="1:14" ht="15" x14ac:dyDescent="0.2">
      <c r="A4" s="160" t="str">
        <f ca="1">HYPERLINK("#" &amp; CELL("address", Concepts!$A$74), "Credit transfer")</f>
        <v>Credit transfer</v>
      </c>
      <c r="B4" s="49" t="s">
        <v>770</v>
      </c>
      <c r="C4" s="160" t="str">
        <f ca="1">HYPERLINK("#" &amp; CELL("address", Concepts!$A$76), "Debtor's PSP")</f>
        <v>Debtor's PSP</v>
      </c>
      <c r="D4" s="49" t="s">
        <v>781</v>
      </c>
      <c r="E4" s="37" t="s">
        <v>737</v>
      </c>
      <c r="G4" s="160" t="str">
        <f ca="1">HYPERLINK("#" &amp; CELL("address", Concepts!$A$145), "2-letter ISO 3166 country code")</f>
        <v>2-letter ISO 3166 country code</v>
      </c>
      <c r="H4" s="49" t="s">
        <v>360</v>
      </c>
      <c r="I4" s="160" t="str">
        <f ca="1">HYPERLINK("#" &amp; CELL("address", Concepts!$A$145), "2-letter ISO 3166 country code")</f>
        <v>2-letter ISO 3166 country code</v>
      </c>
      <c r="J4" s="49" t="s">
        <v>360</v>
      </c>
      <c r="K4" s="160" t="str">
        <f ca="1">HYPERLINK("#" &amp; CELL("address", Concepts!$A$146), "3-letter ISO 4217 currency code")</f>
        <v>3-letter ISO 4217 currency code</v>
      </c>
      <c r="L4" s="49" t="s">
        <v>362</v>
      </c>
      <c r="M4" s="160" t="str">
        <f ca="1">HYPERLINK("#" &amp; CELL("address", Concepts!$A$147), "Number of transactions ")</f>
        <v xml:space="preserve">Number of transactions </v>
      </c>
      <c r="N4" s="49" t="s">
        <v>389</v>
      </c>
    </row>
    <row r="5" spans="1:14" ht="15" x14ac:dyDescent="0.2">
      <c r="A5" s="160" t="str">
        <f ca="1">HYPERLINK("#" &amp; CELL("address", Concepts!$A$75), "Direct debit")</f>
        <v>Direct debit</v>
      </c>
      <c r="B5" s="49" t="s">
        <v>764</v>
      </c>
      <c r="C5" s="160" t="str">
        <f ca="1">HYPERLINK("#" &amp; CELL("address", Concepts!$A$77), "Creditor's PSP")</f>
        <v>Creditor's PSP</v>
      </c>
      <c r="D5" s="49" t="s">
        <v>782</v>
      </c>
      <c r="E5" t="s">
        <v>2653</v>
      </c>
      <c r="F5" s="49" t="s">
        <v>45</v>
      </c>
      <c r="G5" s="52"/>
      <c r="H5" s="49"/>
      <c r="M5" s="160" t="str">
        <f ca="1">HYPERLINK("#" &amp; CELL("address", Concepts!$A$148), "Value of transactions")</f>
        <v>Value of transactions</v>
      </c>
      <c r="N5" s="49" t="s">
        <v>390</v>
      </c>
    </row>
    <row r="6" spans="1:14" ht="15" x14ac:dyDescent="0.2">
      <c r="E6" t="s">
        <v>1896</v>
      </c>
      <c r="F6" s="49" t="s">
        <v>47</v>
      </c>
      <c r="G6" s="37"/>
      <c r="I6" s="37"/>
    </row>
    <row r="7" spans="1:14" ht="15" x14ac:dyDescent="0.2">
      <c r="E7" t="s">
        <v>1897</v>
      </c>
      <c r="F7" s="49" t="s">
        <v>49</v>
      </c>
      <c r="I7" s="52"/>
      <c r="J7" s="49"/>
    </row>
    <row r="8" spans="1:14" ht="15" x14ac:dyDescent="0.2">
      <c r="E8" t="s">
        <v>1898</v>
      </c>
      <c r="F8" s="49" t="s">
        <v>51</v>
      </c>
    </row>
    <row r="9" spans="1:14" ht="15" x14ac:dyDescent="0.2">
      <c r="E9" t="s">
        <v>1899</v>
      </c>
      <c r="F9" s="49" t="s">
        <v>53</v>
      </c>
    </row>
    <row r="10" spans="1:14" ht="15" x14ac:dyDescent="0.2">
      <c r="E10" s="37" t="s">
        <v>921</v>
      </c>
      <c r="F10" s="49"/>
    </row>
    <row r="11" spans="1:14" ht="15" x14ac:dyDescent="0.2">
      <c r="E11" t="s">
        <v>1900</v>
      </c>
      <c r="F11" s="49" t="s">
        <v>732</v>
      </c>
    </row>
    <row r="12" spans="1:14" ht="15" x14ac:dyDescent="0.2">
      <c r="E12" t="s">
        <v>1901</v>
      </c>
      <c r="F12" s="49" t="s">
        <v>798</v>
      </c>
    </row>
    <row r="13" spans="1:14" ht="15" x14ac:dyDescent="0.2">
      <c r="E13" s="160" t="str">
        <f ca="1">HYPERLINK("#" &amp; CELL("address", Concepts!$A$19), "║╚═ Other instant ")</f>
        <v xml:space="preserve">║╚═ Other instant </v>
      </c>
      <c r="F13" s="49" t="s">
        <v>736</v>
      </c>
    </row>
    <row r="14" spans="1:14" ht="15" x14ac:dyDescent="0.2">
      <c r="E14" s="160" t="str">
        <f ca="1">HYPERLINK("#" &amp; CELL("address", Concepts!$A$20), "On-us")</f>
        <v>On-us</v>
      </c>
      <c r="F14" s="49" t="s">
        <v>55</v>
      </c>
    </row>
    <row r="15" spans="1:14" ht="15" x14ac:dyDescent="0.2">
      <c r="E15" s="160" t="str">
        <f ca="1">HYPERLINK("#" &amp; CELL("address", Concepts!$A$23), "PSP LU")</f>
        <v>PSP LU</v>
      </c>
      <c r="F15" s="49" t="s">
        <v>60</v>
      </c>
    </row>
    <row r="16" spans="1:14" ht="15" x14ac:dyDescent="0.2">
      <c r="E16" s="160" t="str">
        <f ca="1">HYPERLINK("#" &amp; CELL("address", Concepts!$A$24), "PSP non-LU")</f>
        <v>PSP non-LU</v>
      </c>
      <c r="F16" s="49" t="s">
        <v>62</v>
      </c>
    </row>
    <row r="17" spans="1:6" ht="15" x14ac:dyDescent="0.2">
      <c r="E17" s="160" t="str">
        <f ca="1">HYPERLINK("#" &amp; CELL("address", Concepts!$A$25), "Other")</f>
        <v>Other</v>
      </c>
      <c r="F17" s="49" t="s">
        <v>364</v>
      </c>
    </row>
    <row r="18" spans="1:6" ht="15" x14ac:dyDescent="0.2">
      <c r="F18" s="49"/>
    </row>
    <row r="21" spans="1:6" ht="15" x14ac:dyDescent="0.2">
      <c r="A21" s="37" t="s">
        <v>476</v>
      </c>
    </row>
    <row r="22" spans="1:6" x14ac:dyDescent="0.2">
      <c r="A22" s="53" t="str">
        <f ca="1">HYPERLINK("#" &amp; CELL("address", Concepts!$A$87), "See definition of 'Interbank payment transaction'.")</f>
        <v>See definition of 'Interbank payment transaction'.</v>
      </c>
      <c r="B22" s="48"/>
    </row>
    <row r="23" spans="1:6" x14ac:dyDescent="0.2">
      <c r="A23" t="s">
        <v>1889</v>
      </c>
      <c r="B23" s="48"/>
    </row>
    <row r="25" spans="1:6" ht="15" x14ac:dyDescent="0.2">
      <c r="A25" s="37" t="s">
        <v>2635</v>
      </c>
    </row>
    <row r="26" spans="1:6" x14ac:dyDescent="0.2">
      <c r="A26" s="36" t="str">
        <f ca="1">HYPERLINK("#" &amp; CELL("address",'Processing chain'!$A$1), "See sheet 'Processing chain' for more details.")</f>
        <v>See sheet 'Processing chain' for more details.</v>
      </c>
    </row>
    <row r="27" spans="1:6" x14ac:dyDescent="0.2">
      <c r="A27" t="s">
        <v>2633</v>
      </c>
    </row>
    <row r="28" spans="1:6" x14ac:dyDescent="0.2">
      <c r="A28" t="s">
        <v>2634</v>
      </c>
    </row>
    <row r="29" spans="1:6" ht="15" x14ac:dyDescent="0.2">
      <c r="A29" s="37" t="s">
        <v>2636</v>
      </c>
    </row>
    <row r="30" spans="1:6" x14ac:dyDescent="0.2">
      <c r="A30" t="s">
        <v>2637</v>
      </c>
    </row>
    <row r="31" spans="1:6" x14ac:dyDescent="0.2">
      <c r="A31" t="s">
        <v>2640</v>
      </c>
    </row>
    <row r="32" spans="1:6" x14ac:dyDescent="0.2">
      <c r="A32" t="s">
        <v>2638</v>
      </c>
    </row>
    <row r="33" spans="1:14" x14ac:dyDescent="0.2">
      <c r="A33" t="s">
        <v>2651</v>
      </c>
    </row>
    <row r="36" spans="1:14" ht="20.25" x14ac:dyDescent="0.2">
      <c r="A36" s="34" t="s">
        <v>2648</v>
      </c>
    </row>
    <row r="37" spans="1:14" ht="14.25" customHeight="1" x14ac:dyDescent="0.2">
      <c r="A37" s="190" t="s">
        <v>2642</v>
      </c>
    </row>
    <row r="38" spans="1:14" ht="15" x14ac:dyDescent="0.2">
      <c r="A38" s="51" t="s">
        <v>1423</v>
      </c>
      <c r="B38" s="51"/>
      <c r="C38" s="51" t="s">
        <v>902</v>
      </c>
      <c r="D38" s="51"/>
      <c r="E38" s="51" t="s">
        <v>769</v>
      </c>
      <c r="F38" s="51"/>
      <c r="G38" s="51" t="s">
        <v>750</v>
      </c>
      <c r="H38" s="51"/>
      <c r="I38" s="51" t="s">
        <v>749</v>
      </c>
      <c r="J38" s="51"/>
      <c r="K38" s="51" t="s">
        <v>361</v>
      </c>
      <c r="L38" s="51"/>
      <c r="M38" s="51" t="s">
        <v>744</v>
      </c>
      <c r="N38" s="51"/>
    </row>
    <row r="39" spans="1:14" ht="14.25" customHeight="1" x14ac:dyDescent="0.2">
      <c r="A39" s="160" t="s">
        <v>1038</v>
      </c>
      <c r="C39" t="s">
        <v>2641</v>
      </c>
      <c r="E39" s="160" t="s">
        <v>271</v>
      </c>
      <c r="G39" s="160" t="str">
        <f ca="1">HYPERLINK("#" &amp; CELL("address", Concepts!$A$145), "2-letter ISO 3166 country code")</f>
        <v>2-letter ISO 3166 country code</v>
      </c>
      <c r="H39" t="s">
        <v>1833</v>
      </c>
      <c r="I39" s="160" t="str">
        <f ca="1">HYPERLINK("#" &amp; CELL("address", Concepts!$A$145), "2-letter ISO 3166 country code")</f>
        <v>2-letter ISO 3166 country code</v>
      </c>
      <c r="J39" t="s">
        <v>2643</v>
      </c>
      <c r="K39" s="160"/>
      <c r="M39" s="160"/>
    </row>
    <row r="41" spans="1:14" ht="15.75" x14ac:dyDescent="0.2">
      <c r="A41" s="190" t="s">
        <v>2647</v>
      </c>
    </row>
    <row r="42" spans="1:14" ht="15" x14ac:dyDescent="0.2">
      <c r="A42" s="51" t="s">
        <v>1423</v>
      </c>
      <c r="B42" s="51"/>
      <c r="C42" s="51" t="s">
        <v>902</v>
      </c>
      <c r="D42" s="51"/>
      <c r="E42" s="51" t="s">
        <v>769</v>
      </c>
      <c r="F42" s="51"/>
      <c r="G42" s="51" t="s">
        <v>750</v>
      </c>
      <c r="H42" s="51"/>
      <c r="I42" s="51" t="s">
        <v>749</v>
      </c>
      <c r="J42" s="51"/>
      <c r="K42" s="51" t="s">
        <v>361</v>
      </c>
      <c r="L42" s="51"/>
      <c r="M42" s="51" t="s">
        <v>744</v>
      </c>
      <c r="N42" s="51"/>
    </row>
    <row r="43" spans="1:14" ht="14.25" customHeight="1" x14ac:dyDescent="0.2">
      <c r="A43" s="160" t="s">
        <v>1038</v>
      </c>
      <c r="C43" t="s">
        <v>2645</v>
      </c>
      <c r="E43" s="160" t="s">
        <v>271</v>
      </c>
      <c r="G43" s="160" t="str">
        <f ca="1">HYPERLINK("#" &amp; CELL("address", Concepts!$A$145), "2-letter ISO 3166 country code")</f>
        <v>2-letter ISO 3166 country code</v>
      </c>
      <c r="H43" t="s">
        <v>2644</v>
      </c>
      <c r="I43" s="160" t="str">
        <f ca="1">HYPERLINK("#" &amp; CELL("address", Concepts!$A$145), "2-letter ISO 3166 country code")</f>
        <v>2-letter ISO 3166 country code</v>
      </c>
      <c r="J43" t="s">
        <v>1834</v>
      </c>
      <c r="K43" s="160"/>
      <c r="M43" s="160"/>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sheetPr>
  <dimension ref="A1:P22"/>
  <sheetViews>
    <sheetView workbookViewId="0"/>
  </sheetViews>
  <sheetFormatPr defaultRowHeight="14.25" x14ac:dyDescent="0.2"/>
  <cols>
    <col min="1" max="1" width="24.75" customWidth="1"/>
    <col min="2" max="2" width="7" customWidth="1"/>
    <col min="3" max="3" width="23" customWidth="1"/>
    <col min="4" max="4" width="7" customWidth="1"/>
    <col min="5" max="5" width="21.25" customWidth="1"/>
    <col min="6" max="6" width="7" customWidth="1"/>
    <col min="7" max="7" width="24" customWidth="1"/>
    <col min="8" max="8" width="7" customWidth="1"/>
    <col min="9" max="9" width="30.25" customWidth="1"/>
    <col min="10" max="10" width="6.75" customWidth="1"/>
    <col min="11" max="11" width="30.5" customWidth="1"/>
    <col min="12" max="12" width="6.75" customWidth="1"/>
    <col min="13" max="13" width="27.25" bestFit="1" customWidth="1"/>
    <col min="14" max="14" width="12.375" customWidth="1"/>
    <col min="15" max="15" width="20.625" bestFit="1" customWidth="1"/>
    <col min="16" max="16" width="5.625" customWidth="1"/>
  </cols>
  <sheetData>
    <row r="1" spans="1:16" x14ac:dyDescent="0.2">
      <c r="A1" s="36" t="str">
        <f ca="1">HYPERLINK("#" &amp; CELL("address",INDEX!$A$1), "Go back to INDEX")</f>
        <v>Go back to INDEX</v>
      </c>
      <c r="B1" s="36"/>
      <c r="C1" s="36"/>
      <c r="D1" s="36"/>
    </row>
    <row r="2" spans="1:16" ht="20.25" x14ac:dyDescent="0.2">
      <c r="A2" s="34" t="s">
        <v>1446</v>
      </c>
      <c r="B2" s="34"/>
      <c r="C2" s="34"/>
      <c r="D2" s="34"/>
    </row>
    <row r="3" spans="1:16" ht="15" x14ac:dyDescent="0.2">
      <c r="A3" s="51" t="s">
        <v>1423</v>
      </c>
      <c r="B3" s="51"/>
      <c r="C3" s="51" t="s">
        <v>905</v>
      </c>
      <c r="D3" s="51"/>
      <c r="E3" s="51" t="s">
        <v>902</v>
      </c>
      <c r="F3" s="51"/>
      <c r="G3" s="51" t="s">
        <v>769</v>
      </c>
      <c r="H3" s="51"/>
      <c r="I3" s="51" t="s">
        <v>750</v>
      </c>
      <c r="J3" s="51"/>
      <c r="K3" s="51" t="s">
        <v>749</v>
      </c>
      <c r="L3" s="51"/>
      <c r="M3" s="51" t="s">
        <v>361</v>
      </c>
      <c r="N3" s="51"/>
      <c r="O3" s="51" t="s">
        <v>744</v>
      </c>
      <c r="P3" s="51"/>
    </row>
    <row r="4" spans="1:16" ht="15" x14ac:dyDescent="0.2">
      <c r="A4" s="160" t="str">
        <f ca="1">HYPERLINK("#" &amp; CELL("address", Concepts!$A$89), "Customer credit transfer ")</f>
        <v xml:space="preserve">Customer credit transfer </v>
      </c>
      <c r="B4" s="49" t="s">
        <v>776</v>
      </c>
      <c r="C4" s="160" t="str">
        <f ca="1">HYPERLINK("#" &amp; CELL("address", Concepts!$A$93), "PSP LU")</f>
        <v>PSP LU</v>
      </c>
      <c r="D4" s="49" t="s">
        <v>60</v>
      </c>
      <c r="E4" s="160" t="str">
        <f ca="1">HYPERLINK("#" &amp; CELL("address", Concepts!$A$76), "Debtor's PSP")</f>
        <v>Debtor's PSP</v>
      </c>
      <c r="F4" s="49" t="s">
        <v>781</v>
      </c>
      <c r="G4" s="37" t="s">
        <v>737</v>
      </c>
      <c r="I4" s="37" t="s">
        <v>903</v>
      </c>
      <c r="K4" s="37" t="s">
        <v>903</v>
      </c>
      <c r="M4" s="160" t="str">
        <f ca="1">HYPERLINK("#" &amp; CELL("address", Concepts!$A$146), "3-letter ISO 4217 currency code")</f>
        <v>3-letter ISO 4217 currency code</v>
      </c>
      <c r="N4" s="49" t="s">
        <v>362</v>
      </c>
      <c r="O4" s="160" t="str">
        <f ca="1">HYPERLINK("#" &amp; CELL("address", Concepts!$A$147), "Number of transactions ")</f>
        <v xml:space="preserve">Number of transactions </v>
      </c>
      <c r="P4" s="49" t="s">
        <v>389</v>
      </c>
    </row>
    <row r="5" spans="1:16" ht="15" x14ac:dyDescent="0.2">
      <c r="A5" s="160" t="str">
        <f ca="1">HYPERLINK("#" &amp; CELL("address", Concepts!$A$90), "Interbank credit transfer ")</f>
        <v xml:space="preserve">Interbank credit transfer </v>
      </c>
      <c r="B5" s="49" t="s">
        <v>777</v>
      </c>
      <c r="C5" s="160" t="str">
        <f ca="1">HYPERLINK("#" &amp; CELL("address", Concepts!$A$94), "PSP non-LU")</f>
        <v>PSP non-LU</v>
      </c>
      <c r="D5" s="49" t="s">
        <v>62</v>
      </c>
      <c r="E5" s="160" t="str">
        <f ca="1">HYPERLINK("#" &amp; CELL("address", Concepts!$A$77), "Creditor's PSP")</f>
        <v>Creditor's PSP</v>
      </c>
      <c r="F5" s="49" t="s">
        <v>782</v>
      </c>
      <c r="G5" t="s">
        <v>2653</v>
      </c>
      <c r="H5" s="49" t="s">
        <v>45</v>
      </c>
      <c r="I5" s="52" t="s">
        <v>773</v>
      </c>
      <c r="J5" s="49" t="s">
        <v>772</v>
      </c>
      <c r="K5" s="162" t="str">
        <f ca="1">HYPERLINK("#" &amp; CELL("address", Concepts!$A$145), "2-letter ISO 3166 country code")</f>
        <v>2-letter ISO 3166 country code</v>
      </c>
      <c r="L5" s="49" t="s">
        <v>360</v>
      </c>
      <c r="O5" s="160" t="str">
        <f ca="1">HYPERLINK("#" &amp; CELL("address", Concepts!$A$148), "Value of transactions")</f>
        <v>Value of transactions</v>
      </c>
      <c r="P5" s="49" t="s">
        <v>390</v>
      </c>
    </row>
    <row r="6" spans="1:16" ht="15" x14ac:dyDescent="0.2">
      <c r="A6" s="163" t="str">
        <f ca="1">HYPERLINK("#" &amp; CELL("address", Concepts!$A$91), "Customer direct debit")</f>
        <v>Customer direct debit</v>
      </c>
      <c r="B6" s="49" t="s">
        <v>1088</v>
      </c>
      <c r="G6" t="s">
        <v>1896</v>
      </c>
      <c r="H6" s="49" t="s">
        <v>47</v>
      </c>
      <c r="I6" s="37" t="s">
        <v>904</v>
      </c>
      <c r="K6" s="37" t="s">
        <v>904</v>
      </c>
    </row>
    <row r="7" spans="1:16" ht="15" x14ac:dyDescent="0.2">
      <c r="A7" s="163" t="str">
        <f ca="1">HYPERLINK("#" &amp; CELL("address", Concepts!$A$92), "Interbank direct debit")</f>
        <v>Interbank direct debit</v>
      </c>
      <c r="B7" s="49" t="s">
        <v>1089</v>
      </c>
      <c r="G7" t="s">
        <v>1897</v>
      </c>
      <c r="H7" s="49" t="s">
        <v>49</v>
      </c>
      <c r="I7" s="162" t="str">
        <f ca="1">HYPERLINK("#" &amp; CELL("address", Concepts!$A$145), "2-letter ISO 3166 country code")</f>
        <v>2-letter ISO 3166 country code</v>
      </c>
      <c r="J7" s="49" t="s">
        <v>360</v>
      </c>
      <c r="K7" s="52" t="s">
        <v>773</v>
      </c>
      <c r="L7" s="49" t="s">
        <v>772</v>
      </c>
    </row>
    <row r="8" spans="1:16" ht="15" x14ac:dyDescent="0.2">
      <c r="G8" t="s">
        <v>1898</v>
      </c>
      <c r="H8" s="49" t="s">
        <v>51</v>
      </c>
    </row>
    <row r="9" spans="1:16" ht="15" x14ac:dyDescent="0.2">
      <c r="G9" t="s">
        <v>1899</v>
      </c>
      <c r="H9" s="49" t="s">
        <v>53</v>
      </c>
    </row>
    <row r="10" spans="1:16" ht="15" x14ac:dyDescent="0.2">
      <c r="G10" s="37" t="s">
        <v>921</v>
      </c>
      <c r="H10" s="49"/>
    </row>
    <row r="11" spans="1:16" ht="15" x14ac:dyDescent="0.2">
      <c r="G11" t="s">
        <v>1900</v>
      </c>
      <c r="H11" s="49" t="s">
        <v>732</v>
      </c>
    </row>
    <row r="12" spans="1:16" ht="15" x14ac:dyDescent="0.2">
      <c r="G12" t="s">
        <v>1901</v>
      </c>
      <c r="H12" s="49" t="s">
        <v>798</v>
      </c>
    </row>
    <row r="13" spans="1:16" ht="15" x14ac:dyDescent="0.2">
      <c r="G13" s="160" t="str">
        <f ca="1">HYPERLINK("#" &amp; CELL("address", Concepts!$A$19), "║╚═ Other instant ")</f>
        <v xml:space="preserve">║╚═ Other instant </v>
      </c>
      <c r="H13" s="49" t="s">
        <v>736</v>
      </c>
    </row>
    <row r="14" spans="1:16" ht="15" x14ac:dyDescent="0.2">
      <c r="G14" s="160" t="str">
        <f ca="1">HYPERLINK("#" &amp; CELL("address", Concepts!$A$20), "On-us")</f>
        <v>On-us</v>
      </c>
      <c r="H14" s="49" t="s">
        <v>55</v>
      </c>
    </row>
    <row r="15" spans="1:16" ht="15" x14ac:dyDescent="0.2">
      <c r="G15" s="160" t="str">
        <f ca="1">HYPERLINK("#" &amp; CELL("address", Concepts!$A$23), "PSP LU")</f>
        <v>PSP LU</v>
      </c>
      <c r="H15" s="49" t="s">
        <v>60</v>
      </c>
    </row>
    <row r="16" spans="1:16" ht="15" x14ac:dyDescent="0.2">
      <c r="G16" s="160" t="str">
        <f ca="1">HYPERLINK("#" &amp; CELL("address", Concepts!$A$24), "PSP non-LU")</f>
        <v>PSP non-LU</v>
      </c>
      <c r="H16" s="49" t="s">
        <v>62</v>
      </c>
    </row>
    <row r="17" spans="1:8" ht="15" x14ac:dyDescent="0.2">
      <c r="G17" s="160" t="str">
        <f ca="1">HYPERLINK("#" &amp; CELL("address", Concepts!$A$25), "Other")</f>
        <v>Other</v>
      </c>
      <c r="H17" s="49" t="s">
        <v>364</v>
      </c>
    </row>
    <row r="18" spans="1:8" ht="15" x14ac:dyDescent="0.2">
      <c r="H18" s="49"/>
    </row>
    <row r="21" spans="1:8" ht="15" x14ac:dyDescent="0.2">
      <c r="A21" s="37" t="s">
        <v>476</v>
      </c>
    </row>
    <row r="22" spans="1:8" x14ac:dyDescent="0.2">
      <c r="A22" s="53" t="str">
        <f ca="1">HYPERLINK("#" &amp; CELL("address", Concepts!$A$88), "Please see the definition of 'Intermediated payment transaction'.")</f>
        <v>Please see the definition of 'Intermediated payment transaction'.</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5" tint="0.59999389629810485"/>
  </sheetPr>
  <dimension ref="A1:X86"/>
  <sheetViews>
    <sheetView zoomScale="85" zoomScaleNormal="85" workbookViewId="0"/>
  </sheetViews>
  <sheetFormatPr defaultRowHeight="14.25" x14ac:dyDescent="0.2"/>
  <cols>
    <col min="1" max="1" width="67.875" customWidth="1"/>
    <col min="3" max="3" width="27.875" customWidth="1"/>
    <col min="5" max="5" width="18.75" customWidth="1"/>
    <col min="7" max="7" width="33.375" customWidth="1"/>
    <col min="9" max="9" width="48" customWidth="1"/>
    <col min="11" max="11" width="21.5" customWidth="1"/>
    <col min="13" max="13" width="50.375" customWidth="1"/>
    <col min="15" max="15" width="58.75" customWidth="1"/>
    <col min="17" max="17" width="26.125" bestFit="1" customWidth="1"/>
    <col min="19" max="19" width="26.25" customWidth="1"/>
    <col min="21" max="21" width="27.125" customWidth="1"/>
    <col min="22" max="22" width="12.125" customWidth="1"/>
    <col min="23" max="23" width="20.25" bestFit="1" customWidth="1"/>
  </cols>
  <sheetData>
    <row r="1" spans="1:24" x14ac:dyDescent="0.2">
      <c r="A1" s="36" t="str">
        <f ca="1">HYPERLINK("#" &amp; CELL("address",INDEX!$A$1), "Go back to INDEX")</f>
        <v>Go back to INDEX</v>
      </c>
    </row>
    <row r="2" spans="1:24" ht="20.25" x14ac:dyDescent="0.2">
      <c r="A2" s="34" t="s">
        <v>1445</v>
      </c>
    </row>
    <row r="3" spans="1:24" ht="15" customHeight="1" x14ac:dyDescent="0.2">
      <c r="A3" s="51" t="s">
        <v>1437</v>
      </c>
      <c r="B3" s="51"/>
      <c r="C3" s="51" t="s">
        <v>805</v>
      </c>
      <c r="D3" s="51"/>
      <c r="E3" s="51" t="s">
        <v>187</v>
      </c>
      <c r="F3" s="51"/>
      <c r="G3" s="51" t="s">
        <v>790</v>
      </c>
      <c r="H3" s="51"/>
      <c r="I3" s="51" t="s">
        <v>462</v>
      </c>
      <c r="J3" s="51"/>
      <c r="K3" s="51" t="s">
        <v>848</v>
      </c>
      <c r="L3" s="51"/>
      <c r="M3" s="51" t="s">
        <v>422</v>
      </c>
      <c r="N3" s="51"/>
      <c r="O3" s="51" t="s">
        <v>469</v>
      </c>
      <c r="P3" s="51"/>
      <c r="Q3" s="51" t="s">
        <v>1554</v>
      </c>
      <c r="R3" s="51"/>
      <c r="S3" s="51" t="s">
        <v>1553</v>
      </c>
      <c r="T3" s="51"/>
      <c r="U3" s="51" t="s">
        <v>361</v>
      </c>
      <c r="V3" s="51"/>
      <c r="W3" s="51" t="s">
        <v>744</v>
      </c>
      <c r="X3" s="51"/>
    </row>
    <row r="4" spans="1:24" ht="14.1" customHeight="1" x14ac:dyDescent="0.2">
      <c r="A4" s="148" t="str">
        <f ca="1">HYPERLINK("#" &amp; CELL("address", Concepts!$A$95), "Debit card ")</f>
        <v xml:space="preserve">Debit card </v>
      </c>
      <c r="B4" s="49" t="s">
        <v>800</v>
      </c>
      <c r="C4" s="212" t="s">
        <v>116</v>
      </c>
      <c r="D4" s="49" t="s">
        <v>1036</v>
      </c>
      <c r="E4" s="148" t="str">
        <f ca="1">HYPERLINK("#" &amp; CELL("address", Concepts!$A$105), "ATM")</f>
        <v>ATM</v>
      </c>
      <c r="F4" s="49" t="s">
        <v>846</v>
      </c>
      <c r="G4" s="37" t="s">
        <v>1851</v>
      </c>
      <c r="I4" s="86" t="s">
        <v>910</v>
      </c>
      <c r="K4" s="148" t="str">
        <f ca="1">HYPERLINK("#" &amp; CELL("address", Concepts!$A$43), "Remote")</f>
        <v>Remote</v>
      </c>
      <c r="L4" s="49" t="s">
        <v>1044</v>
      </c>
      <c r="M4" s="148" t="str">
        <f ca="1">HYPERLINK("#" &amp; CELL("address", Concepts!$A$47), "SCA used")</f>
        <v>SCA used</v>
      </c>
      <c r="N4" s="49" t="s">
        <v>1049</v>
      </c>
      <c r="O4" s="160" t="str">
        <f ca="1">HYPERLINK("#" &amp; CELL("address", Concepts!$A$59), "Not applicable ")</f>
        <v xml:space="preserve">Not applicable </v>
      </c>
      <c r="P4" s="49" t="s">
        <v>761</v>
      </c>
      <c r="Q4" s="148" t="str">
        <f ca="1">HYPERLINK("#" &amp; CELL("address", Concepts!$A$145), "2-letter ISO 3166 country code")</f>
        <v>2-letter ISO 3166 country code</v>
      </c>
      <c r="R4" s="49" t="s">
        <v>360</v>
      </c>
      <c r="S4" s="148" t="str">
        <f ca="1">HYPERLINK("#" &amp; CELL("address", Concepts!$A$145), "2-letter ISO 3166 country code")</f>
        <v>2-letter ISO 3166 country code</v>
      </c>
      <c r="T4" s="49" t="s">
        <v>360</v>
      </c>
      <c r="U4" s="148" t="str">
        <f ca="1">HYPERLINK("#" &amp; CELL("address", Concepts!$A$146), "3-letter ISO 4217 currency code")</f>
        <v>3-letter ISO 4217 currency code</v>
      </c>
      <c r="V4" s="49" t="s">
        <v>362</v>
      </c>
      <c r="W4" s="148" t="str">
        <f ca="1">HYPERLINK("#" &amp; CELL("address", Concepts!$A$147), "Number of transactions")</f>
        <v>Number of transactions</v>
      </c>
      <c r="X4" s="49" t="s">
        <v>389</v>
      </c>
    </row>
    <row r="5" spans="1:24" ht="14.1" customHeight="1" x14ac:dyDescent="0.2">
      <c r="A5" s="148" t="str">
        <f ca="1">HYPERLINK("#" &amp; CELL("address", Concepts!$A$96), "Delayed debit card")</f>
        <v>Delayed debit card</v>
      </c>
      <c r="B5" s="49" t="s">
        <v>801</v>
      </c>
      <c r="C5" s="82" t="s">
        <v>907</v>
      </c>
      <c r="D5" s="49" t="s">
        <v>111</v>
      </c>
      <c r="E5" s="164" t="str">
        <f ca="1">HYPERLINK("#" &amp; CELL("address", Concepts!$A$106), "Point of sale (POS):")</f>
        <v>Point of sale (POS):</v>
      </c>
      <c r="G5" s="96" t="str">
        <f ca="1">HYPERLINK("#" &amp; CELL("address", Concepts!$A$111), "╠═ Sales")</f>
        <v>╠═ Sales</v>
      </c>
      <c r="H5" s="49" t="s">
        <v>842</v>
      </c>
      <c r="I5" s="148" t="str">
        <f ca="1">HYPERLINK("#" &amp; CELL("address", Concepts!$A$117), "╠═ Contact-based transaction")</f>
        <v>╠═ Contact-based transaction</v>
      </c>
      <c r="J5" s="49" t="s">
        <v>1936</v>
      </c>
      <c r="K5" s="148" t="str">
        <f ca="1">HYPERLINK("#" &amp; CELL("address", Concepts!$A$44), "Non-remote")</f>
        <v>Non-remote</v>
      </c>
      <c r="L5" s="49" t="s">
        <v>1045</v>
      </c>
      <c r="M5" s="73" t="s">
        <v>479</v>
      </c>
      <c r="W5" s="148" t="str">
        <f ca="1">HYPERLINK("#" &amp; CELL("address", Concepts!$A$148), "Value of transactions ")</f>
        <v xml:space="preserve">Value of transactions </v>
      </c>
      <c r="X5" s="49" t="s">
        <v>390</v>
      </c>
    </row>
    <row r="6" spans="1:24" ht="14.1" customHeight="1" x14ac:dyDescent="0.2">
      <c r="A6" s="148" t="str">
        <f ca="1">HYPERLINK("#" &amp; CELL("address", Concepts!$A$97), "Credit card")</f>
        <v>Credit card</v>
      </c>
      <c r="B6" s="49" t="s">
        <v>802</v>
      </c>
      <c r="C6" s="212" t="s">
        <v>113</v>
      </c>
      <c r="D6" s="49" t="s">
        <v>113</v>
      </c>
      <c r="E6" s="148" t="str">
        <f ca="1">HYPERLINK("#" &amp; CELL("address", Concepts!$A$107), "╠═ EFTPOS")</f>
        <v>╠═ EFTPOS</v>
      </c>
      <c r="F6" s="49" t="s">
        <v>1500</v>
      </c>
      <c r="G6" s="96" t="str">
        <f ca="1">HYPERLINK("#" &amp; CELL("address", Concepts!$A$114), "╠═ Cash advance at a POS terminal")</f>
        <v>╠═ Cash advance at a POS terminal</v>
      </c>
      <c r="H6" s="49" t="s">
        <v>847</v>
      </c>
      <c r="I6" s="197" t="str">
        <f ca="1">HYPERLINK("#" &amp; CELL("address", Concepts!$A$119), "╠╗ Contactless transaction:")</f>
        <v>╠╗ Contactless transaction:</v>
      </c>
      <c r="J6" s="49"/>
      <c r="M6" s="83" t="s">
        <v>922</v>
      </c>
    </row>
    <row r="7" spans="1:24" ht="14.1" customHeight="1" x14ac:dyDescent="0.2">
      <c r="A7" s="160" t="str">
        <f ca="1">HYPERLINK("#" &amp; CELL("address", Concepts!$A$98), "Mixed card (debit+credit)")</f>
        <v>Mixed card (debit+credit)</v>
      </c>
      <c r="B7" s="49" t="s">
        <v>990</v>
      </c>
      <c r="C7" t="s">
        <v>806</v>
      </c>
      <c r="D7" s="49" t="s">
        <v>124</v>
      </c>
      <c r="E7" s="148" t="str">
        <f ca="1">HYPERLINK("#" &amp; CELL("address", Concepts!$A$108), "╚═ Imprinter")</f>
        <v>╚═ Imprinter</v>
      </c>
      <c r="F7" s="49" t="s">
        <v>1501</v>
      </c>
      <c r="G7" s="96" t="str">
        <f ca="1">HYPERLINK("#" &amp; CELL("address", Concepts!$A$115), "╠═ ATM cash withdrawal")</f>
        <v>╠═ ATM cash withdrawal</v>
      </c>
      <c r="H7" s="49" t="s">
        <v>821</v>
      </c>
      <c r="I7" s="165" t="str">
        <f ca="1">HYPERLINK("#" &amp; CELL("address", Concepts!$A$120), "║╠═ using NFC")</f>
        <v>║╠═ using NFC</v>
      </c>
      <c r="J7" s="49" t="s">
        <v>850</v>
      </c>
      <c r="K7" s="49"/>
      <c r="L7" s="49"/>
      <c r="M7" s="165" t="str">
        <f ca="1">HYPERLINK("#" &amp; CELL("address", Concepts!$A$50), "║╠═ Trusted beneficiaries")</f>
        <v>║╠═ Trusted beneficiaries</v>
      </c>
      <c r="N7" s="49" t="s">
        <v>1059</v>
      </c>
    </row>
    <row r="8" spans="1:24" ht="14.1" customHeight="1" x14ac:dyDescent="0.2">
      <c r="A8" s="148" t="str">
        <f ca="1">HYPERLINK("#" &amp; CELL("address", Concepts!$A$99), "Prepaid card")</f>
        <v>Prepaid card</v>
      </c>
      <c r="B8" s="49" t="s">
        <v>804</v>
      </c>
      <c r="C8" t="s">
        <v>808</v>
      </c>
      <c r="D8" s="49" t="s">
        <v>123</v>
      </c>
      <c r="E8" s="148" t="str">
        <f ca="1">HYPERLINK("#" &amp; CELL("address", Concepts!$A$109), "E-commerce")</f>
        <v>E-commerce</v>
      </c>
      <c r="F8" s="49" t="s">
        <v>727</v>
      </c>
      <c r="G8" t="s">
        <v>1855</v>
      </c>
      <c r="H8" s="49" t="s">
        <v>1852</v>
      </c>
      <c r="I8" s="165" t="str">
        <f ca="1">HYPERLINK("#" &amp; CELL("address", Concepts!$A$121), "║╚═ using other technology")</f>
        <v>║╚═ using other technology</v>
      </c>
      <c r="J8" s="49" t="s">
        <v>1041</v>
      </c>
      <c r="M8" s="165" t="str">
        <f ca="1">HYPERLINK("#" &amp; CELL("address", Concepts!$A$51), "║╠═ Recurring transaction")</f>
        <v>║╠═ Recurring transaction</v>
      </c>
      <c r="N8" s="49" t="s">
        <v>1060</v>
      </c>
    </row>
    <row r="9" spans="1:24" ht="14.1" customHeight="1" x14ac:dyDescent="0.2">
      <c r="A9" s="96" t="str">
        <f ca="1">HYPERLINK("#" &amp; CELL("address", Concepts!$A$182), "Cards which give access to e-money stored on a software based e-money account ")</f>
        <v xml:space="preserve">Cards which give access to e-money stored on a software based e-money account </v>
      </c>
      <c r="B9" s="49" t="s">
        <v>818</v>
      </c>
      <c r="C9" t="s">
        <v>122</v>
      </c>
      <c r="D9" s="49" t="s">
        <v>121</v>
      </c>
      <c r="E9" s="148" t="str">
        <f ca="1">HYPERLINK("#" &amp; CELL("address", Concepts!$A$110), "MOTO")</f>
        <v>MOTO</v>
      </c>
      <c r="F9" s="49" t="s">
        <v>399</v>
      </c>
      <c r="G9" s="37" t="s">
        <v>1853</v>
      </c>
      <c r="I9" s="86" t="s">
        <v>852</v>
      </c>
      <c r="K9" s="49"/>
      <c r="L9" s="49"/>
      <c r="M9" s="81" t="s">
        <v>1085</v>
      </c>
      <c r="N9" s="49" t="s">
        <v>364</v>
      </c>
    </row>
    <row r="10" spans="1:24" ht="14.1" customHeight="1" x14ac:dyDescent="0.2">
      <c r="A10" s="163" t="str">
        <f ca="1">HYPERLINK("#" &amp; CELL("address", Concepts!$A$100), "One-off card")</f>
        <v>One-off card</v>
      </c>
      <c r="B10" s="49" t="s">
        <v>991</v>
      </c>
      <c r="C10" t="s">
        <v>807</v>
      </c>
      <c r="D10" s="49" t="s">
        <v>119</v>
      </c>
      <c r="E10" s="90" t="s">
        <v>359</v>
      </c>
      <c r="F10" s="49" t="s">
        <v>364</v>
      </c>
      <c r="G10" s="196" t="str">
        <f ca="1">HYPERLINK("#" &amp; CELL("address", Concepts!$A$112), "╠═ Sales (credit)")</f>
        <v>╠═ Sales (credit)</v>
      </c>
      <c r="H10" s="195" t="s">
        <v>1765</v>
      </c>
      <c r="I10" s="148" t="str">
        <f ca="1">HYPERLINK("#" &amp; CELL("address", Concepts!$A$118), "╠═ Remote card transaction")</f>
        <v>╠═ Remote card transaction</v>
      </c>
      <c r="J10" s="49" t="s">
        <v>1937</v>
      </c>
      <c r="K10" s="49"/>
      <c r="L10" s="49"/>
      <c r="M10" s="83" t="s">
        <v>923</v>
      </c>
    </row>
    <row r="11" spans="1:24" ht="14.1" customHeight="1" x14ac:dyDescent="0.2">
      <c r="A11" s="148" t="str">
        <f ca="1">HYPERLINK("#" &amp; CELL("address", Concepts!$A$101), "Other")</f>
        <v>Other</v>
      </c>
      <c r="B11" s="49" t="s">
        <v>364</v>
      </c>
      <c r="C11" s="160" t="str">
        <f ca="1">HYPERLINK("#" &amp; CELL("address", Concepts!$A$104), "Proprietary")</f>
        <v>Proprietary</v>
      </c>
      <c r="D11" s="49" t="s">
        <v>125</v>
      </c>
      <c r="G11" s="96" t="str">
        <f ca="1">HYPERLINK("#" &amp; CELL("address", Concepts!$A$113), "╠═ Refund")</f>
        <v>╠═ Refund</v>
      </c>
      <c r="H11" s="49" t="s">
        <v>1040</v>
      </c>
      <c r="I11" s="197" t="str">
        <f ca="1">HYPERLINK("#" &amp; CELL("address", Concepts!$A$38), "╠╗ Mobile payment solution (MPS):")</f>
        <v>╠╗ Mobile payment solution (MPS):</v>
      </c>
      <c r="J11" s="49"/>
      <c r="K11" s="49"/>
      <c r="L11" s="49"/>
      <c r="M11" s="165" t="str">
        <f ca="1">HYPERLINK("#" &amp; CELL("address", Concepts!$A$52), "║╠═ Contactless low value")</f>
        <v>║╠═ Contactless low value</v>
      </c>
      <c r="N11" s="49" t="s">
        <v>1061</v>
      </c>
    </row>
    <row r="12" spans="1:24" ht="14.1" customHeight="1" x14ac:dyDescent="0.2">
      <c r="A12" s="82"/>
      <c r="B12" s="49"/>
      <c r="C12" s="73" t="s">
        <v>359</v>
      </c>
      <c r="D12" s="49" t="s">
        <v>364</v>
      </c>
      <c r="G12" s="36" t="str">
        <f ca="1">HYPERLINK("#" &amp; CELL("address", Concepts!$A$116), "╠═ ATM cash deposit")</f>
        <v>╠═ ATM cash deposit</v>
      </c>
      <c r="H12" s="49" t="s">
        <v>822</v>
      </c>
      <c r="I12" s="165" t="str">
        <f ca="1">HYPERLINK("#" &amp; CELL("address", Concepts!$A$40), "║╠═ P2P MPS")</f>
        <v>║╠═ P2P MPS</v>
      </c>
      <c r="J12" s="49" t="s">
        <v>730</v>
      </c>
      <c r="K12" s="49"/>
      <c r="L12" s="49"/>
      <c r="M12" s="165" t="str">
        <f ca="1">HYPERLINK("#" &amp; CELL("address", Concepts!$A$53), "║╚═ Unattended terminal for transport fares or parking fees")</f>
        <v>║╚═ Unattended terminal for transport fares or parking fees</v>
      </c>
      <c r="N12" s="49" t="s">
        <v>1062</v>
      </c>
    </row>
    <row r="13" spans="1:24" ht="14.1" customHeight="1" x14ac:dyDescent="0.2">
      <c r="A13" s="82"/>
      <c r="B13" s="49"/>
      <c r="G13" t="s">
        <v>1856</v>
      </c>
      <c r="H13" s="195" t="s">
        <v>1854</v>
      </c>
      <c r="I13" s="165" t="str">
        <f ca="1">HYPERLINK("#" &amp; CELL("address", Concepts!$A$41), "║╚═ Other MPS")</f>
        <v>║╚═ Other MPS</v>
      </c>
      <c r="J13" s="49" t="s">
        <v>731</v>
      </c>
      <c r="K13" s="49"/>
      <c r="L13" s="49"/>
      <c r="M13" s="83" t="s">
        <v>924</v>
      </c>
    </row>
    <row r="14" spans="1:24" ht="14.1" customHeight="1" x14ac:dyDescent="0.2">
      <c r="A14" s="1"/>
      <c r="H14" s="49"/>
      <c r="I14" s="165" t="str">
        <f ca="1">HYPERLINK("#" &amp; CELL("address", Concepts!$A$42), "Other")</f>
        <v>Other</v>
      </c>
      <c r="J14" s="49" t="s">
        <v>364</v>
      </c>
      <c r="K14" s="49"/>
      <c r="L14" s="49"/>
      <c r="M14" s="165" t="str">
        <f ca="1">HYPERLINK("#" &amp; CELL("address", Concepts!$A$54), "║╠═ Low value")</f>
        <v>║╠═ Low value</v>
      </c>
      <c r="N14" s="49" t="s">
        <v>1063</v>
      </c>
    </row>
    <row r="15" spans="1:24" ht="14.1" customHeight="1" x14ac:dyDescent="0.2">
      <c r="A15" s="1"/>
      <c r="H15" s="49"/>
      <c r="K15" s="49"/>
      <c r="L15" s="49"/>
      <c r="M15" s="165" t="str">
        <f ca="1">HYPERLINK("#" &amp; CELL("address", Concepts!$A$55), "║╠═ Secure corporate payment processes and protocols")</f>
        <v>║╠═ Secure corporate payment processes and protocols</v>
      </c>
      <c r="N15" s="49" t="s">
        <v>1064</v>
      </c>
    </row>
    <row r="16" spans="1:24" ht="14.1" customHeight="1" x14ac:dyDescent="0.2">
      <c r="H16" s="49"/>
      <c r="K16" s="49"/>
      <c r="L16" s="49"/>
      <c r="M16" s="165" t="str">
        <f ca="1">HYPERLINK("#" &amp; CELL("address", Concepts!$A$56), "║╠═ Transaction risk analysis")</f>
        <v>║╠═ Transaction risk analysis</v>
      </c>
      <c r="N16" s="49" t="s">
        <v>1065</v>
      </c>
    </row>
    <row r="17" spans="1:24" ht="14.1" customHeight="1" x14ac:dyDescent="0.2">
      <c r="H17" s="49"/>
      <c r="K17" s="49"/>
      <c r="L17" s="49"/>
      <c r="M17" s="165" t="str">
        <f ca="1">HYPERLINK("#" &amp; CELL("address", Concepts!$A$122), "║╚═ Merchant initiated transaction (MIT)")</f>
        <v>║╚═ Merchant initiated transaction (MIT)</v>
      </c>
      <c r="N17" s="49" t="s">
        <v>1069</v>
      </c>
    </row>
    <row r="18" spans="1:24" ht="14.1" customHeight="1" x14ac:dyDescent="0.2">
      <c r="H18" s="49"/>
      <c r="K18" s="49"/>
      <c r="L18" s="49"/>
      <c r="M18" s="160" t="str">
        <f ca="1">HYPERLINK("#" &amp; CELL("address", Concepts!$A$57), "Not applicable")</f>
        <v>Not applicable</v>
      </c>
      <c r="N18" s="49" t="s">
        <v>761</v>
      </c>
    </row>
    <row r="19" spans="1:24" ht="14.1" customHeight="1" x14ac:dyDescent="0.2">
      <c r="H19" s="49"/>
      <c r="K19" s="49"/>
      <c r="L19" s="49"/>
    </row>
    <row r="20" spans="1:24" ht="14.1" customHeight="1" x14ac:dyDescent="0.2">
      <c r="H20" s="49"/>
      <c r="K20" s="49"/>
      <c r="L20" s="49"/>
      <c r="N20" s="49"/>
    </row>
    <row r="21" spans="1:24" ht="14.1" customHeight="1" x14ac:dyDescent="0.2">
      <c r="H21" s="49"/>
      <c r="K21" s="49"/>
      <c r="L21" s="49"/>
      <c r="N21" s="49"/>
    </row>
    <row r="22" spans="1:24" ht="14.1" customHeight="1" x14ac:dyDescent="0.2">
      <c r="H22" s="49"/>
      <c r="K22" s="49"/>
      <c r="L22" s="49"/>
      <c r="N22" s="49"/>
    </row>
    <row r="23" spans="1:24" ht="23.25" customHeight="1" x14ac:dyDescent="0.2">
      <c r="A23" s="34" t="s">
        <v>1528</v>
      </c>
      <c r="H23" s="49"/>
      <c r="K23" s="49"/>
      <c r="L23" s="49"/>
      <c r="N23" s="49"/>
    </row>
    <row r="24" spans="1:24" ht="14.1" customHeight="1" x14ac:dyDescent="0.2">
      <c r="A24" s="51" t="str">
        <f>IF(ISBLANK(A$3), "", A$3)</f>
        <v>Payment card type</v>
      </c>
      <c r="B24" s="51" t="str">
        <f t="shared" ref="B24:X24" si="0">IF(ISBLANK(B$3), "", B$3)</f>
        <v/>
      </c>
      <c r="C24" s="51" t="str">
        <f t="shared" si="0"/>
        <v>Payment card scheme</v>
      </c>
      <c r="D24" s="51" t="str">
        <f t="shared" si="0"/>
        <v/>
      </c>
      <c r="E24" s="51" t="str">
        <f t="shared" si="0"/>
        <v>Terminal type</v>
      </c>
      <c r="F24" s="51" t="str">
        <f t="shared" si="0"/>
        <v/>
      </c>
      <c r="G24" s="51" t="str">
        <f t="shared" si="0"/>
        <v xml:space="preserve">Operation type </v>
      </c>
      <c r="H24" s="51" t="str">
        <f t="shared" si="0"/>
        <v/>
      </c>
      <c r="I24" s="51" t="str">
        <f t="shared" si="0"/>
        <v>Initiation channel</v>
      </c>
      <c r="J24" s="51" t="str">
        <f t="shared" si="0"/>
        <v/>
      </c>
      <c r="K24" s="51" t="str">
        <f t="shared" si="0"/>
        <v xml:space="preserve">Initiation sub-channel </v>
      </c>
      <c r="L24" s="51" t="str">
        <f t="shared" si="0"/>
        <v/>
      </c>
      <c r="M24" s="51" t="str">
        <f t="shared" si="0"/>
        <v>SCA</v>
      </c>
      <c r="N24" s="51" t="str">
        <f t="shared" si="0"/>
        <v/>
      </c>
      <c r="O24" s="51" t="str">
        <f t="shared" si="0"/>
        <v>Fraud type</v>
      </c>
      <c r="P24" s="51" t="str">
        <f t="shared" si="0"/>
        <v/>
      </c>
      <c r="Q24" s="51" t="str">
        <f t="shared" si="0"/>
        <v>Country of acquirer</v>
      </c>
      <c r="R24" s="51" t="str">
        <f t="shared" si="0"/>
        <v/>
      </c>
      <c r="S24" s="51" t="str">
        <f t="shared" si="0"/>
        <v>Country of terminal</v>
      </c>
      <c r="T24" s="51" t="str">
        <f t="shared" si="0"/>
        <v/>
      </c>
      <c r="U24" s="51" t="str">
        <f t="shared" si="0"/>
        <v>Currency</v>
      </c>
      <c r="V24" s="51" t="str">
        <f t="shared" si="0"/>
        <v/>
      </c>
      <c r="W24" s="51" t="str">
        <f t="shared" si="0"/>
        <v>Metric</v>
      </c>
      <c r="X24" s="51" t="str">
        <f t="shared" si="0"/>
        <v/>
      </c>
    </row>
    <row r="25" spans="1:24" ht="14.1" customHeight="1" x14ac:dyDescent="0.2">
      <c r="A25" t="s">
        <v>1078</v>
      </c>
      <c r="C25" t="s">
        <v>1078</v>
      </c>
      <c r="E25" t="s">
        <v>1078</v>
      </c>
      <c r="G25" s="37" t="s">
        <v>1851</v>
      </c>
      <c r="I25" t="s">
        <v>1078</v>
      </c>
      <c r="K25" t="s">
        <v>1078</v>
      </c>
      <c r="L25" s="49"/>
      <c r="M25" t="s">
        <v>1078</v>
      </c>
      <c r="N25" s="49"/>
      <c r="O25" s="86" t="s">
        <v>480</v>
      </c>
      <c r="Q25" t="s">
        <v>1078</v>
      </c>
      <c r="S25" t="s">
        <v>1078</v>
      </c>
      <c r="U25" t="s">
        <v>1078</v>
      </c>
      <c r="W25" t="s">
        <v>1078</v>
      </c>
    </row>
    <row r="26" spans="1:24" ht="14.1" customHeight="1" x14ac:dyDescent="0.2">
      <c r="G26" s="200" t="str">
        <f ca="1">HYPERLINK("#" &amp; CELL("address", Concepts!$A$111), "╠═ Sales")</f>
        <v>╠═ Sales</v>
      </c>
      <c r="H26" s="49" t="s">
        <v>842</v>
      </c>
      <c r="K26" s="49"/>
      <c r="L26" s="49"/>
      <c r="N26" s="49"/>
      <c r="O26" s="73" t="s">
        <v>1779</v>
      </c>
    </row>
    <row r="27" spans="1:24" ht="14.1" customHeight="1" x14ac:dyDescent="0.2">
      <c r="G27" s="200" t="str">
        <f ca="1">HYPERLINK("#" &amp; CELL("address", Concepts!$A$114), "╠═ Cash advance at a POS terminal")</f>
        <v>╠═ Cash advance at a POS terminal</v>
      </c>
      <c r="H27" s="49" t="s">
        <v>847</v>
      </c>
      <c r="O27" s="197" t="str">
        <f ca="1">HYPERLINK("#" &amp; CELL("address", Concepts!$A$123), "║╠═ Lost or Stolen card")</f>
        <v>║╠═ Lost or Stolen card</v>
      </c>
      <c r="P27" s="49" t="s">
        <v>1070</v>
      </c>
    </row>
    <row r="28" spans="1:24" ht="14.1" customHeight="1" x14ac:dyDescent="0.2">
      <c r="G28" s="200" t="str">
        <f ca="1">HYPERLINK("#" &amp; CELL("address", Concepts!$A$115), "╠═ ATM cash withdrawal")</f>
        <v>╠═ ATM cash withdrawal</v>
      </c>
      <c r="H28" s="49" t="s">
        <v>821</v>
      </c>
      <c r="O28" s="197" t="str">
        <f ca="1">HYPERLINK("#" &amp; CELL("address", Concepts!$A$125), "║╠═ Card Not Received ")</f>
        <v xml:space="preserve">║╠═ Card Not Received </v>
      </c>
      <c r="P28" s="49" t="s">
        <v>1071</v>
      </c>
    </row>
    <row r="29" spans="1:24" ht="14.1" customHeight="1" x14ac:dyDescent="0.2">
      <c r="G29" s="201" t="s">
        <v>1855</v>
      </c>
      <c r="H29" s="49" t="s">
        <v>1852</v>
      </c>
      <c r="O29" s="197" t="str">
        <f ca="1">HYPERLINK("#" &amp; CELL("address", Concepts!$A$127), "║╠═ Counterfeit card ")</f>
        <v xml:space="preserve">║╠═ Counterfeit card </v>
      </c>
      <c r="P29" s="49" t="s">
        <v>1072</v>
      </c>
    </row>
    <row r="30" spans="1:24" ht="14.1" customHeight="1" x14ac:dyDescent="0.2">
      <c r="O30" s="81" t="s">
        <v>1085</v>
      </c>
      <c r="P30" s="49" t="s">
        <v>364</v>
      </c>
    </row>
    <row r="31" spans="1:24" ht="14.1" customHeight="1" x14ac:dyDescent="0.2">
      <c r="O31" s="165" t="str">
        <f ca="1">HYPERLINK("#" &amp; CELL("address", Concepts!$A$61), "╠═ Modification of a payment order by the fraudster")</f>
        <v>╠═ Modification of a payment order by the fraudster</v>
      </c>
      <c r="P31" s="49" t="s">
        <v>1066</v>
      </c>
    </row>
    <row r="32" spans="1:24" ht="14.1" customHeight="1" x14ac:dyDescent="0.2">
      <c r="O32" s="165" t="str">
        <f ca="1">HYPERLINK("#" &amp; CELL("address", Concepts!$A$64), "╠═ Manipulation of the payer to make a card payment/cash withdrawal")</f>
        <v>╠═ Manipulation of the payer to make a card payment/cash withdrawal</v>
      </c>
      <c r="P32" s="49" t="s">
        <v>1083</v>
      </c>
    </row>
    <row r="33" spans="1:24" ht="14.1" customHeight="1" x14ac:dyDescent="0.2">
      <c r="O33" s="86" t="s">
        <v>852</v>
      </c>
      <c r="P33" s="49"/>
    </row>
    <row r="34" spans="1:24" ht="14.1" customHeight="1" x14ac:dyDescent="0.2">
      <c r="O34" s="73" t="s">
        <v>1777</v>
      </c>
    </row>
    <row r="35" spans="1:24" ht="14.1" customHeight="1" x14ac:dyDescent="0.2">
      <c r="O35" s="197" t="str">
        <f ca="1">HYPERLINK("#" &amp; CELL("address", Concepts!$A$129), "║╚═ Card details theft")</f>
        <v>║╚═ Card details theft</v>
      </c>
      <c r="P35" s="49" t="s">
        <v>1073</v>
      </c>
    </row>
    <row r="36" spans="1:24" ht="14.1" customHeight="1" x14ac:dyDescent="0.2"/>
    <row r="43" spans="1:24" ht="20.25" x14ac:dyDescent="0.2">
      <c r="A43" s="34" t="s">
        <v>1749</v>
      </c>
    </row>
    <row r="44" spans="1:24" ht="14.25" customHeight="1" x14ac:dyDescent="0.2">
      <c r="A44" s="190" t="s">
        <v>2537</v>
      </c>
    </row>
    <row r="45" spans="1:24" ht="14.25" customHeight="1" x14ac:dyDescent="0.2">
      <c r="A45" s="51" t="s">
        <v>1437</v>
      </c>
      <c r="B45" s="51"/>
      <c r="C45" s="51" t="s">
        <v>805</v>
      </c>
      <c r="D45" s="51"/>
      <c r="E45" s="51" t="s">
        <v>187</v>
      </c>
      <c r="F45" s="51"/>
      <c r="G45" s="51" t="s">
        <v>790</v>
      </c>
      <c r="H45" s="51"/>
      <c r="I45" s="51" t="s">
        <v>462</v>
      </c>
      <c r="J45" s="51"/>
      <c r="K45" s="51" t="s">
        <v>848</v>
      </c>
      <c r="L45" s="51"/>
      <c r="M45" s="51" t="s">
        <v>422</v>
      </c>
      <c r="N45" s="51"/>
      <c r="O45" s="51" t="s">
        <v>469</v>
      </c>
      <c r="P45" s="51"/>
      <c r="Q45" s="51" t="s">
        <v>1554</v>
      </c>
      <c r="R45" s="51"/>
      <c r="S45" s="51" t="s">
        <v>1553</v>
      </c>
      <c r="T45" s="51"/>
      <c r="U45" s="51" t="s">
        <v>361</v>
      </c>
      <c r="V45" s="51"/>
      <c r="W45" s="51" t="s">
        <v>744</v>
      </c>
      <c r="X45" s="51"/>
    </row>
    <row r="46" spans="1:24" ht="14.25" customHeight="1" x14ac:dyDescent="0.2">
      <c r="A46" s="160" t="str">
        <f ca="1">HYPERLINK("#" &amp; CELL("address", Concepts!$A$97), "Credit card")</f>
        <v>Credit card</v>
      </c>
      <c r="C46" t="s">
        <v>113</v>
      </c>
      <c r="E46" s="160" t="str">
        <f ca="1">HYPERLINK("#" &amp; CELL("address", Concepts!$A$110), "MOTO")</f>
        <v>MOTO</v>
      </c>
      <c r="G46" s="160" t="str">
        <f ca="1">HYPERLINK("#" &amp; CELL("address", Concepts!$A$111), "Sales")</f>
        <v>Sales</v>
      </c>
      <c r="I46" s="160" t="str">
        <f ca="1">HYPERLINK("#" &amp; CELL("address", Concepts!$A$118), "Remote card transaction")</f>
        <v>Remote card transaction</v>
      </c>
      <c r="K46" s="160" t="str">
        <f ca="1">HYPERLINK("#" &amp; CELL("address", Concepts!$A$43), "Remote")</f>
        <v>Remote</v>
      </c>
      <c r="M46" s="160" t="str">
        <f ca="1">HYPERLINK("#" &amp; CELL("address", Concepts!$A$57), "Not applicable")</f>
        <v>Not applicable</v>
      </c>
    </row>
    <row r="47" spans="1:24" ht="14.25" customHeight="1" x14ac:dyDescent="0.2"/>
    <row r="48" spans="1:24" ht="14.25" customHeight="1" x14ac:dyDescent="0.2">
      <c r="A48" s="190" t="s">
        <v>2538</v>
      </c>
    </row>
    <row r="49" spans="1:24" ht="14.25" customHeight="1" x14ac:dyDescent="0.2">
      <c r="A49" s="51" t="s">
        <v>1437</v>
      </c>
      <c r="B49" s="51"/>
      <c r="C49" s="51" t="s">
        <v>805</v>
      </c>
      <c r="D49" s="51"/>
      <c r="E49" s="51" t="s">
        <v>187</v>
      </c>
      <c r="F49" s="51"/>
      <c r="G49" s="51" t="s">
        <v>790</v>
      </c>
      <c r="H49" s="51"/>
      <c r="I49" s="51" t="s">
        <v>462</v>
      </c>
      <c r="J49" s="51"/>
      <c r="K49" s="51" t="s">
        <v>848</v>
      </c>
      <c r="L49" s="51"/>
      <c r="M49" s="51" t="s">
        <v>422</v>
      </c>
      <c r="N49" s="51"/>
      <c r="O49" s="51" t="s">
        <v>469</v>
      </c>
      <c r="P49" s="51"/>
      <c r="Q49" s="51" t="s">
        <v>1554</v>
      </c>
      <c r="R49" s="51"/>
      <c r="S49" s="51" t="s">
        <v>1553</v>
      </c>
      <c r="T49" s="51"/>
      <c r="U49" s="51" t="s">
        <v>361</v>
      </c>
      <c r="V49" s="51"/>
      <c r="W49" s="51" t="s">
        <v>744</v>
      </c>
      <c r="X49" s="51"/>
    </row>
    <row r="50" spans="1:24" ht="14.25" customHeight="1" x14ac:dyDescent="0.2">
      <c r="A50" s="160" t="str">
        <f ca="1">HYPERLINK("#" &amp; CELL("address", Concepts!$A$95), "Debit card")</f>
        <v>Debit card</v>
      </c>
      <c r="C50" t="s">
        <v>907</v>
      </c>
      <c r="E50" s="160" t="str">
        <f ca="1">HYPERLINK("#" &amp; CELL("address", Concepts!$A$105), "ATM")</f>
        <v>ATM</v>
      </c>
      <c r="G50" s="160" t="str">
        <f ca="1">HYPERLINK("#" &amp; CELL("address", Concepts!$A$115), "ATM cash withdrawal")</f>
        <v>ATM cash withdrawal</v>
      </c>
      <c r="I50" s="160" t="str">
        <f ca="1">HYPERLINK("#" &amp; CELL("address", Concepts!$A$117), "Contact-based transaction")</f>
        <v>Contact-based transaction</v>
      </c>
      <c r="K50" s="160" t="str">
        <f ca="1">HYPERLINK("#" &amp; CELL("address", Concepts!$A$44), "Non-remote")</f>
        <v>Non-remote</v>
      </c>
      <c r="M50" s="160" t="str">
        <f ca="1">HYPERLINK("#" &amp; CELL("address", Concepts!$A$47), "SCA used")</f>
        <v>SCA used</v>
      </c>
    </row>
    <row r="51" spans="1:24" ht="14.25" customHeight="1" x14ac:dyDescent="0.2"/>
    <row r="52" spans="1:24" ht="14.25" customHeight="1" x14ac:dyDescent="0.2">
      <c r="A52" s="190" t="s">
        <v>2539</v>
      </c>
    </row>
    <row r="53" spans="1:24" ht="14.25" customHeight="1" x14ac:dyDescent="0.2">
      <c r="A53" s="51" t="s">
        <v>1437</v>
      </c>
      <c r="B53" s="51"/>
      <c r="C53" s="51" t="s">
        <v>805</v>
      </c>
      <c r="D53" s="51"/>
      <c r="E53" s="51" t="s">
        <v>187</v>
      </c>
      <c r="F53" s="51"/>
      <c r="G53" s="51" t="s">
        <v>790</v>
      </c>
      <c r="H53" s="51"/>
      <c r="I53" s="51" t="s">
        <v>462</v>
      </c>
      <c r="J53" s="51"/>
      <c r="K53" s="51" t="s">
        <v>848</v>
      </c>
      <c r="L53" s="51"/>
      <c r="M53" s="51" t="s">
        <v>422</v>
      </c>
      <c r="N53" s="51"/>
      <c r="O53" s="51" t="s">
        <v>469</v>
      </c>
      <c r="P53" s="51"/>
      <c r="Q53" s="51" t="s">
        <v>1554</v>
      </c>
      <c r="R53" s="51"/>
      <c r="S53" s="51" t="s">
        <v>1553</v>
      </c>
      <c r="T53" s="51"/>
      <c r="U53" s="51" t="s">
        <v>361</v>
      </c>
      <c r="V53" s="51"/>
      <c r="W53" s="51" t="s">
        <v>744</v>
      </c>
      <c r="X53" s="51"/>
    </row>
    <row r="54" spans="1:24" ht="14.25" customHeight="1" x14ac:dyDescent="0.2">
      <c r="A54" s="160" t="str">
        <f ca="1">HYPERLINK("#" &amp; CELL("address", Concepts!$A$97), "Credit card")</f>
        <v>Credit card</v>
      </c>
      <c r="C54" t="s">
        <v>116</v>
      </c>
      <c r="E54" s="160" t="str">
        <f ca="1">HYPERLINK("#" &amp; CELL("address", Concepts!$A$107), "EFTPOS")</f>
        <v>EFTPOS</v>
      </c>
      <c r="G54" s="160" t="str">
        <f ca="1">HYPERLINK("#" &amp; CELL("address", Concepts!$A$111), "Sales")</f>
        <v>Sales</v>
      </c>
      <c r="I54" t="s">
        <v>1820</v>
      </c>
      <c r="K54" s="160" t="str">
        <f ca="1">HYPERLINK("#" &amp; CELL("address", Concepts!$A$44), "Non-remote")</f>
        <v>Non-remote</v>
      </c>
      <c r="M54" s="160" t="str">
        <f ca="1">HYPERLINK("#" &amp; CELL("address", Concepts!$A$47), "SCA used")</f>
        <v>SCA used</v>
      </c>
    </row>
    <row r="55" spans="1:24" ht="14.25" customHeight="1" x14ac:dyDescent="0.2"/>
    <row r="56" spans="1:24" ht="14.25" customHeight="1" x14ac:dyDescent="0.2">
      <c r="A56" s="190" t="s">
        <v>2540</v>
      </c>
    </row>
    <row r="57" spans="1:24" ht="14.25" customHeight="1" x14ac:dyDescent="0.2">
      <c r="A57" s="51" t="s">
        <v>1437</v>
      </c>
      <c r="B57" s="51"/>
      <c r="C57" s="51" t="s">
        <v>805</v>
      </c>
      <c r="D57" s="51"/>
      <c r="E57" s="51" t="s">
        <v>187</v>
      </c>
      <c r="F57" s="51"/>
      <c r="G57" s="51" t="s">
        <v>790</v>
      </c>
      <c r="H57" s="51"/>
      <c r="I57" s="51" t="s">
        <v>462</v>
      </c>
      <c r="J57" s="51"/>
      <c r="K57" s="51" t="s">
        <v>848</v>
      </c>
      <c r="L57" s="51"/>
      <c r="M57" s="51" t="s">
        <v>422</v>
      </c>
      <c r="N57" s="51"/>
      <c r="O57" s="51" t="s">
        <v>469</v>
      </c>
      <c r="P57" s="51"/>
      <c r="Q57" s="51" t="s">
        <v>1554</v>
      </c>
      <c r="R57" s="51"/>
      <c r="S57" s="51" t="s">
        <v>1553</v>
      </c>
      <c r="T57" s="51"/>
      <c r="U57" s="51" t="s">
        <v>361</v>
      </c>
      <c r="V57" s="51"/>
      <c r="W57" s="51" t="s">
        <v>744</v>
      </c>
      <c r="X57" s="51"/>
    </row>
    <row r="58" spans="1:24" ht="14.25" customHeight="1" x14ac:dyDescent="0.2">
      <c r="A58" s="160" t="str">
        <f ca="1">HYPERLINK("#" &amp; CELL("address", Concepts!$A$96), "Delayed debit card")</f>
        <v>Delayed debit card</v>
      </c>
      <c r="C58" t="s">
        <v>113</v>
      </c>
      <c r="E58" s="160" t="str">
        <f ca="1">HYPERLINK("#" &amp; CELL("address", Concepts!$A$109), "E-commerce")</f>
        <v>E-commerce</v>
      </c>
      <c r="G58" s="160" t="str">
        <f ca="1">HYPERLINK("#" &amp; CELL("address", Concepts!$A$113), "Refund")</f>
        <v>Refund</v>
      </c>
      <c r="I58" s="160" t="str">
        <f ca="1">HYPERLINK("#" &amp; CELL("address", Concepts!$A$118), "Remote card transaction")</f>
        <v>Remote card transaction</v>
      </c>
      <c r="K58" s="160" t="str">
        <f ca="1">HYPERLINK("#" &amp; CELL("address", Concepts!$A$43), "Remote")</f>
        <v>Remote</v>
      </c>
      <c r="M58" s="160" t="str">
        <f ca="1">HYPERLINK("#" &amp; CELL("address", Concepts!$A$57), "Not applicable")</f>
        <v>Not applicable</v>
      </c>
    </row>
    <row r="59" spans="1:24" ht="14.25" customHeight="1" x14ac:dyDescent="0.2"/>
    <row r="60" spans="1:24" ht="14.25" customHeight="1" x14ac:dyDescent="0.2">
      <c r="A60" s="190" t="s">
        <v>2541</v>
      </c>
    </row>
    <row r="61" spans="1:24" ht="14.25" customHeight="1" x14ac:dyDescent="0.2">
      <c r="A61" s="51" t="s">
        <v>1437</v>
      </c>
      <c r="B61" s="51"/>
      <c r="C61" s="51" t="s">
        <v>805</v>
      </c>
      <c r="D61" s="51"/>
      <c r="E61" s="51" t="s">
        <v>187</v>
      </c>
      <c r="F61" s="51"/>
      <c r="G61" s="51" t="s">
        <v>790</v>
      </c>
      <c r="H61" s="51"/>
      <c r="I61" s="51" t="s">
        <v>462</v>
      </c>
      <c r="J61" s="51"/>
      <c r="K61" s="51" t="s">
        <v>848</v>
      </c>
      <c r="L61" s="51"/>
      <c r="M61" s="51" t="s">
        <v>422</v>
      </c>
      <c r="N61" s="51"/>
      <c r="O61" s="51" t="s">
        <v>469</v>
      </c>
      <c r="P61" s="51"/>
      <c r="Q61" s="51" t="s">
        <v>1554</v>
      </c>
      <c r="R61" s="51"/>
      <c r="S61" s="51" t="s">
        <v>1553</v>
      </c>
      <c r="T61" s="51"/>
      <c r="U61" s="51" t="s">
        <v>361</v>
      </c>
      <c r="V61" s="51"/>
      <c r="W61" s="51" t="s">
        <v>744</v>
      </c>
      <c r="X61" s="51"/>
    </row>
    <row r="62" spans="1:24" ht="14.25" customHeight="1" x14ac:dyDescent="0.2">
      <c r="A62" s="160" t="str">
        <f ca="1">HYPERLINK("#" &amp; CELL("address", Concepts!$A$96), "Delayed debit card")</f>
        <v>Delayed debit card</v>
      </c>
      <c r="C62" t="s">
        <v>113</v>
      </c>
      <c r="E62" s="160" t="str">
        <f ca="1">HYPERLINK("#" &amp; CELL("address", Concepts!$A$109), "E-commerce")</f>
        <v>E-commerce</v>
      </c>
      <c r="G62" s="160" t="str">
        <f ca="1">HYPERLINK("#" &amp; CELL("address", Concepts!$A$111), "Sales")</f>
        <v>Sales</v>
      </c>
      <c r="I62" s="160" t="str">
        <f ca="1">HYPERLINK("#" &amp; CELL("address", Concepts!$A$118), "Remote card transaction")</f>
        <v>Remote card transaction</v>
      </c>
      <c r="K62" s="160" t="str">
        <f ca="1">HYPERLINK("#" &amp; CELL("address", Concepts!$A$43), "Remote")</f>
        <v>Remote</v>
      </c>
      <c r="M62" s="160" t="str">
        <f ca="1">HYPERLINK("#" &amp; CELL("address", Concepts!$A$122), "Merchant initiated transaction (MIT)")</f>
        <v>Merchant initiated transaction (MIT)</v>
      </c>
    </row>
    <row r="63" spans="1:24" ht="14.25" customHeight="1" x14ac:dyDescent="0.2"/>
    <row r="64" spans="1:24" ht="14.25" customHeight="1" x14ac:dyDescent="0.2">
      <c r="A64" s="190" t="s">
        <v>2542</v>
      </c>
    </row>
    <row r="65" spans="1:24" ht="14.25" customHeight="1" x14ac:dyDescent="0.2">
      <c r="A65" s="51" t="s">
        <v>1437</v>
      </c>
      <c r="B65" s="51"/>
      <c r="C65" s="51" t="s">
        <v>805</v>
      </c>
      <c r="D65" s="51"/>
      <c r="E65" s="51" t="s">
        <v>187</v>
      </c>
      <c r="F65" s="51"/>
      <c r="G65" s="51" t="s">
        <v>790</v>
      </c>
      <c r="H65" s="51"/>
      <c r="I65" s="51" t="s">
        <v>462</v>
      </c>
      <c r="J65" s="51"/>
      <c r="K65" s="51" t="s">
        <v>848</v>
      </c>
      <c r="L65" s="51"/>
      <c r="M65" s="51" t="s">
        <v>422</v>
      </c>
      <c r="N65" s="51"/>
      <c r="O65" s="51" t="s">
        <v>469</v>
      </c>
      <c r="P65" s="51"/>
      <c r="Q65" s="51" t="s">
        <v>1554</v>
      </c>
      <c r="R65" s="51"/>
      <c r="S65" s="51" t="s">
        <v>1553</v>
      </c>
      <c r="T65" s="51"/>
      <c r="U65" s="51" t="s">
        <v>361</v>
      </c>
      <c r="V65" s="51"/>
      <c r="W65" s="51" t="s">
        <v>744</v>
      </c>
      <c r="X65" s="51"/>
    </row>
    <row r="66" spans="1:24" ht="14.25" customHeight="1" x14ac:dyDescent="0.2">
      <c r="A66" s="160" t="str">
        <f ca="1">HYPERLINK("#" &amp; CELL("address", Concepts!$A$95), "Debit card")</f>
        <v>Debit card</v>
      </c>
      <c r="C66" t="s">
        <v>113</v>
      </c>
      <c r="E66" s="160" t="str">
        <f ca="1">HYPERLINK("#" &amp; CELL("address", Concepts!$A$107), "EFTPOS")</f>
        <v>EFTPOS</v>
      </c>
      <c r="G66" s="160" t="str">
        <f ca="1">HYPERLINK("#" &amp; CELL("address", Concepts!$A$111), "Sales")</f>
        <v>Sales</v>
      </c>
      <c r="I66" s="166" t="str">
        <f ca="1">HYPERLINK("#" &amp; CELL("address", Concepts!$A$117), "Contact-based transaction")</f>
        <v>Contact-based transaction</v>
      </c>
      <c r="K66" s="160" t="str">
        <f ca="1">HYPERLINK("#" &amp; CELL("address", Concepts!$A$44), "Non-remote")</f>
        <v>Non-remote</v>
      </c>
      <c r="M66" s="160" t="str">
        <f ca="1">HYPERLINK("#" &amp; CELL("address", Concepts!$A$53), "Unattended terminal for transport fares or parking fees")</f>
        <v>Unattended terminal for transport fares or parking fees</v>
      </c>
    </row>
    <row r="67" spans="1:24" ht="14.25" customHeight="1" x14ac:dyDescent="0.2"/>
    <row r="68" spans="1:24" ht="14.25" customHeight="1" x14ac:dyDescent="0.2">
      <c r="A68" s="190" t="s">
        <v>2543</v>
      </c>
    </row>
    <row r="69" spans="1:24" ht="14.25" customHeight="1" x14ac:dyDescent="0.2">
      <c r="A69" s="51" t="s">
        <v>1437</v>
      </c>
      <c r="B69" s="51"/>
      <c r="C69" s="51" t="s">
        <v>805</v>
      </c>
      <c r="D69" s="51"/>
      <c r="E69" s="51" t="s">
        <v>187</v>
      </c>
      <c r="F69" s="51"/>
      <c r="G69" s="51" t="s">
        <v>790</v>
      </c>
      <c r="H69" s="51"/>
      <c r="I69" s="51" t="s">
        <v>462</v>
      </c>
      <c r="J69" s="51"/>
      <c r="K69" s="51" t="s">
        <v>848</v>
      </c>
      <c r="L69" s="51"/>
      <c r="M69" s="51" t="s">
        <v>422</v>
      </c>
      <c r="N69" s="51"/>
      <c r="O69" s="51" t="s">
        <v>469</v>
      </c>
      <c r="P69" s="51"/>
      <c r="Q69" s="51" t="s">
        <v>1554</v>
      </c>
      <c r="R69" s="51"/>
      <c r="S69" s="51" t="s">
        <v>1553</v>
      </c>
      <c r="T69" s="51"/>
      <c r="U69" s="51" t="s">
        <v>361</v>
      </c>
      <c r="V69" s="51"/>
      <c r="W69" s="51" t="s">
        <v>744</v>
      </c>
      <c r="X69" s="51"/>
    </row>
    <row r="70" spans="1:24" ht="14.25" customHeight="1" x14ac:dyDescent="0.2">
      <c r="A70" s="160" t="str">
        <f ca="1">HYPERLINK("#" &amp; CELL("address", Concepts!$A$97), "Credit card")</f>
        <v>Credit card</v>
      </c>
      <c r="C70" t="s">
        <v>116</v>
      </c>
      <c r="E70" s="160" t="str">
        <f ca="1">HYPERLINK("#" &amp; CELL("address", Concepts!$A$109), "E-commerce")</f>
        <v>E-commerce</v>
      </c>
      <c r="G70" s="160" t="str">
        <f ca="1">HYPERLINK("#" &amp; CELL("address", Concepts!$A$111), "Sales")</f>
        <v>Sales</v>
      </c>
      <c r="I70" s="160" t="str">
        <f ca="1">HYPERLINK("#" &amp; CELL("address", Concepts!$A$41), "Other MPS")</f>
        <v>Other MPS</v>
      </c>
      <c r="K70" s="160" t="str">
        <f ca="1">HYPERLINK("#" &amp; CELL("address", Concepts!$A$43), "Remote")</f>
        <v>Remote</v>
      </c>
      <c r="M70" s="160" t="str">
        <f ca="1">HYPERLINK("#" &amp; CELL("address", Concepts!$A$47), "SCA used")</f>
        <v>SCA used</v>
      </c>
    </row>
    <row r="71" spans="1:24" ht="14.25" customHeight="1" x14ac:dyDescent="0.2"/>
    <row r="72" spans="1:24" ht="14.25" customHeight="1" x14ac:dyDescent="0.2">
      <c r="A72" s="190" t="s">
        <v>2544</v>
      </c>
    </row>
    <row r="73" spans="1:24" ht="14.25" customHeight="1" x14ac:dyDescent="0.2">
      <c r="A73" s="51" t="s">
        <v>1437</v>
      </c>
      <c r="B73" s="51"/>
      <c r="C73" s="51" t="s">
        <v>805</v>
      </c>
      <c r="D73" s="51"/>
      <c r="E73" s="51" t="s">
        <v>187</v>
      </c>
      <c r="F73" s="51"/>
      <c r="G73" s="51" t="s">
        <v>790</v>
      </c>
      <c r="H73" s="51"/>
      <c r="I73" s="51" t="s">
        <v>462</v>
      </c>
      <c r="J73" s="51"/>
      <c r="K73" s="51" t="s">
        <v>848</v>
      </c>
      <c r="L73" s="51"/>
      <c r="M73" s="51" t="s">
        <v>422</v>
      </c>
      <c r="N73" s="51"/>
      <c r="O73" s="51" t="s">
        <v>469</v>
      </c>
      <c r="P73" s="51"/>
      <c r="Q73" s="51" t="s">
        <v>1554</v>
      </c>
      <c r="R73" s="51"/>
      <c r="S73" s="51" t="s">
        <v>1553</v>
      </c>
      <c r="T73" s="51"/>
      <c r="U73" s="51" t="s">
        <v>361</v>
      </c>
      <c r="V73" s="51"/>
      <c r="W73" s="51" t="s">
        <v>744</v>
      </c>
      <c r="X73" s="51"/>
    </row>
    <row r="74" spans="1:24" ht="14.25" customHeight="1" x14ac:dyDescent="0.2">
      <c r="A74" s="160" t="str">
        <f ca="1">HYPERLINK("#" &amp; CELL("address", Concepts!$A$97), "Credit card")</f>
        <v>Credit card</v>
      </c>
      <c r="C74" t="s">
        <v>116</v>
      </c>
      <c r="E74" s="160" t="str">
        <f ca="1">HYPERLINK("#" &amp; CELL("address", Concepts!$A$109), "E-commerce")</f>
        <v>E-commerce</v>
      </c>
      <c r="G74" s="160" t="str">
        <f ca="1">HYPERLINK("#" &amp; CELL("address", Concepts!$A$111), "Sales")</f>
        <v>Sales</v>
      </c>
      <c r="I74" s="160" t="str">
        <f ca="1">HYPERLINK("#" &amp; CELL("address", Concepts!$A$118), "Remote card transaction")</f>
        <v>Remote card transaction</v>
      </c>
      <c r="K74" s="160" t="str">
        <f ca="1">HYPERLINK("#" &amp; CELL("address", Concepts!$A$43), "Remote")</f>
        <v>Remote</v>
      </c>
      <c r="M74" s="160" t="str">
        <f ca="1">HYPERLINK("#" &amp; CELL("address", Concepts!$A$47), "SCA used")</f>
        <v>SCA used</v>
      </c>
    </row>
    <row r="75" spans="1:24" ht="14.25" customHeight="1" x14ac:dyDescent="0.2"/>
    <row r="76" spans="1:24" ht="14.25" customHeight="1" x14ac:dyDescent="0.2">
      <c r="A76" s="190" t="s">
        <v>2545</v>
      </c>
    </row>
    <row r="77" spans="1:24" ht="14.25" customHeight="1" x14ac:dyDescent="0.2">
      <c r="A77" s="51" t="s">
        <v>1437</v>
      </c>
      <c r="B77" s="51"/>
      <c r="C77" s="51" t="s">
        <v>805</v>
      </c>
      <c r="D77" s="51"/>
      <c r="E77" s="51" t="s">
        <v>187</v>
      </c>
      <c r="F77" s="51"/>
      <c r="G77" s="51" t="s">
        <v>790</v>
      </c>
      <c r="H77" s="51"/>
      <c r="I77" s="51" t="s">
        <v>462</v>
      </c>
      <c r="J77" s="51"/>
      <c r="K77" s="51" t="s">
        <v>848</v>
      </c>
      <c r="L77" s="51"/>
      <c r="M77" s="51" t="s">
        <v>422</v>
      </c>
      <c r="N77" s="51"/>
      <c r="O77" s="51" t="s">
        <v>469</v>
      </c>
      <c r="P77" s="51"/>
      <c r="Q77" s="51" t="s">
        <v>1554</v>
      </c>
      <c r="R77" s="51"/>
      <c r="S77" s="51" t="s">
        <v>1553</v>
      </c>
      <c r="T77" s="51"/>
      <c r="U77" s="51" t="s">
        <v>361</v>
      </c>
      <c r="V77" s="51"/>
      <c r="W77" s="51" t="s">
        <v>744</v>
      </c>
      <c r="X77" s="51"/>
    </row>
    <row r="78" spans="1:24" ht="14.25" customHeight="1" x14ac:dyDescent="0.2">
      <c r="A78" s="160" t="str">
        <f ca="1">HYPERLINK("#" &amp; CELL("address", Concepts!$A$97), "Credit card")</f>
        <v>Credit card</v>
      </c>
      <c r="C78" t="s">
        <v>116</v>
      </c>
      <c r="E78" s="160" t="str">
        <f ca="1">HYPERLINK("#" &amp; CELL("address", Concepts!$A$107), "EFTPOS")</f>
        <v>EFTPOS</v>
      </c>
      <c r="G78" s="160" t="str">
        <f ca="1">HYPERLINK("#" &amp; CELL("address", Concepts!$A$111), "Sales")</f>
        <v>Sales</v>
      </c>
      <c r="I78" t="s">
        <v>1820</v>
      </c>
      <c r="K78" s="160" t="str">
        <f ca="1">HYPERLINK("#" &amp; CELL("address", Concepts!$A$44), "Non-remote")</f>
        <v>Non-remote</v>
      </c>
      <c r="M78" s="160" t="str">
        <f ca="1">HYPERLINK("#" &amp; CELL("address", Concepts!$A$52), "Contactless low value")</f>
        <v>Contactless low value</v>
      </c>
      <c r="O78" s="160" t="str">
        <f ca="1">HYPERLINK("#" &amp; CELL("address", Concepts!$A$123), "Lost or stolen card")</f>
        <v>Lost or stolen card</v>
      </c>
    </row>
    <row r="79" spans="1:24" ht="14.25" customHeight="1" x14ac:dyDescent="0.2"/>
    <row r="80" spans="1:24" ht="14.25" customHeight="1" x14ac:dyDescent="0.2">
      <c r="A80" s="190" t="s">
        <v>2546</v>
      </c>
    </row>
    <row r="81" spans="1:24" ht="14.25" customHeight="1" x14ac:dyDescent="0.2">
      <c r="A81" s="51" t="s">
        <v>1437</v>
      </c>
      <c r="B81" s="51"/>
      <c r="C81" s="51" t="s">
        <v>805</v>
      </c>
      <c r="D81" s="51"/>
      <c r="E81" s="51" t="s">
        <v>187</v>
      </c>
      <c r="F81" s="51"/>
      <c r="G81" s="51" t="s">
        <v>790</v>
      </c>
      <c r="H81" s="51"/>
      <c r="I81" s="51" t="s">
        <v>462</v>
      </c>
      <c r="J81" s="51"/>
      <c r="K81" s="51" t="s">
        <v>848</v>
      </c>
      <c r="L81" s="51"/>
      <c r="M81" s="51" t="s">
        <v>422</v>
      </c>
      <c r="N81" s="51"/>
      <c r="O81" s="51" t="s">
        <v>469</v>
      </c>
      <c r="P81" s="51"/>
      <c r="Q81" s="51" t="s">
        <v>1554</v>
      </c>
      <c r="R81" s="51"/>
      <c r="S81" s="51" t="s">
        <v>1553</v>
      </c>
      <c r="T81" s="51"/>
      <c r="U81" s="51" t="s">
        <v>361</v>
      </c>
      <c r="V81" s="51"/>
      <c r="W81" s="51" t="s">
        <v>744</v>
      </c>
      <c r="X81" s="51"/>
    </row>
    <row r="82" spans="1:24" ht="14.25" customHeight="1" x14ac:dyDescent="0.2">
      <c r="A82" s="160" t="str">
        <f ca="1">HYPERLINK("#" &amp; CELL("address", Concepts!$A$95), "Debit card")</f>
        <v>Debit card</v>
      </c>
      <c r="C82" t="s">
        <v>116</v>
      </c>
      <c r="E82" s="160" t="str">
        <f ca="1">HYPERLINK("#" &amp; CELL("address", Concepts!$A$109), "E-commerce")</f>
        <v>E-commerce</v>
      </c>
      <c r="G82" s="160" t="str">
        <f ca="1">HYPERLINK("#" &amp; CELL("address", Concepts!$A$111), "Sales")</f>
        <v>Sales</v>
      </c>
      <c r="I82" s="160" t="str">
        <f ca="1">HYPERLINK("#" &amp; CELL("address", Concepts!$A$41), "Other MPS")</f>
        <v>Other MPS</v>
      </c>
      <c r="K82" s="160" t="str">
        <f ca="1">HYPERLINK("#" &amp; CELL("address", Concepts!$A$43), "Remote")</f>
        <v>Remote</v>
      </c>
      <c r="M82" s="160" t="str">
        <f ca="1">HYPERLINK("#" &amp; CELL("address", Concepts!$A$47), "SCA used")</f>
        <v>SCA used</v>
      </c>
      <c r="O82" s="160" t="str">
        <f ca="1">HYPERLINK("#" &amp; CELL("address", Concepts!$A$64), "Manipulation of the payer to make a card payment/cash withdrawal")</f>
        <v>Manipulation of the payer to make a card payment/cash withdrawal</v>
      </c>
    </row>
    <row r="83" spans="1:24" ht="14.25" customHeight="1" x14ac:dyDescent="0.2"/>
    <row r="84" spans="1:24" ht="14.25" customHeight="1" x14ac:dyDescent="0.2">
      <c r="A84" s="190" t="s">
        <v>2547</v>
      </c>
    </row>
    <row r="85" spans="1:24" ht="14.25" customHeight="1" x14ac:dyDescent="0.2">
      <c r="A85" s="51" t="s">
        <v>1437</v>
      </c>
      <c r="B85" s="51"/>
      <c r="C85" s="51" t="s">
        <v>805</v>
      </c>
      <c r="D85" s="51"/>
      <c r="E85" s="51" t="s">
        <v>187</v>
      </c>
      <c r="F85" s="51"/>
      <c r="G85" s="51" t="s">
        <v>790</v>
      </c>
      <c r="H85" s="51"/>
      <c r="I85" s="51" t="s">
        <v>462</v>
      </c>
      <c r="J85" s="51"/>
      <c r="K85" s="51" t="s">
        <v>848</v>
      </c>
      <c r="L85" s="51"/>
      <c r="M85" s="51" t="s">
        <v>422</v>
      </c>
      <c r="N85" s="51"/>
      <c r="O85" s="51" t="s">
        <v>469</v>
      </c>
      <c r="P85" s="51"/>
      <c r="Q85" s="51" t="s">
        <v>1554</v>
      </c>
      <c r="R85" s="51"/>
      <c r="S85" s="51" t="s">
        <v>1553</v>
      </c>
      <c r="T85" s="51"/>
      <c r="U85" s="51" t="s">
        <v>361</v>
      </c>
      <c r="V85" s="51"/>
      <c r="W85" s="51" t="s">
        <v>744</v>
      </c>
      <c r="X85" s="51"/>
    </row>
    <row r="86" spans="1:24" ht="14.25" customHeight="1" x14ac:dyDescent="0.2">
      <c r="A86" s="160" t="str">
        <f ca="1">HYPERLINK("#" &amp; CELL("address", Concepts!$A$97), "Credit card")</f>
        <v>Credit card</v>
      </c>
      <c r="C86" t="s">
        <v>113</v>
      </c>
      <c r="E86" s="160" t="str">
        <f ca="1">HYPERLINK("#" &amp; CELL("address", Concepts!$A$109), "E-commerce")</f>
        <v>E-commerce</v>
      </c>
      <c r="G86" s="160" t="str">
        <f ca="1">HYPERLINK("#" &amp; CELL("address", Concepts!$A$111), "Sales")</f>
        <v>Sales</v>
      </c>
      <c r="I86" s="160" t="str">
        <f ca="1">HYPERLINK("#" &amp; CELL("address", Concepts!$A$118), "Remote card transaction")</f>
        <v>Remote card transaction</v>
      </c>
      <c r="K86" s="160" t="str">
        <f ca="1">HYPERLINK("#" &amp; CELL("address", Concepts!$A$43), "Remote")</f>
        <v>Remote</v>
      </c>
      <c r="M86" s="160" t="str">
        <f ca="1">HYPERLINK("#" &amp; CELL("address", Concepts!$A$47), "SCA used")</f>
        <v>SCA used</v>
      </c>
      <c r="O86" s="160" t="str">
        <f ca="1">HYPERLINK("#" &amp; CELL("address", Concepts!$A$61), "Modification of a payment order by the fraudster")</f>
        <v>Modification of a payment order by the fraudster</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5" tint="0.59999389629810485"/>
  </sheetPr>
  <dimension ref="A1:J14"/>
  <sheetViews>
    <sheetView workbookViewId="0"/>
  </sheetViews>
  <sheetFormatPr defaultRowHeight="14.25" x14ac:dyDescent="0.2"/>
  <cols>
    <col min="1" max="1" width="37.5" customWidth="1"/>
    <col min="2" max="2" width="9.125" customWidth="1"/>
    <col min="3" max="3" width="28.875" customWidth="1"/>
    <col min="4" max="4" width="9.125" customWidth="1"/>
    <col min="5" max="5" width="25.375" customWidth="1"/>
    <col min="6" max="6" width="9.125" customWidth="1"/>
    <col min="7" max="7" width="30.75" customWidth="1"/>
    <col min="8" max="8" width="9.125" customWidth="1"/>
    <col min="9" max="9" width="24.25" customWidth="1"/>
    <col min="10" max="10" width="10.875" customWidth="1"/>
    <col min="11" max="11" width="28.25" customWidth="1"/>
    <col min="13" max="13" width="29.625" customWidth="1"/>
    <col min="15" max="15" width="24.5" customWidth="1"/>
  </cols>
  <sheetData>
    <row r="1" spans="1:10" x14ac:dyDescent="0.2">
      <c r="A1" s="36" t="str">
        <f ca="1">HYPERLINK("#" &amp; CELL("address",INDEX!$A$1), "Go back to INDEX")</f>
        <v>Go back to INDEX</v>
      </c>
    </row>
    <row r="2" spans="1:10" ht="20.25" x14ac:dyDescent="0.2">
      <c r="A2" s="34" t="s">
        <v>1444</v>
      </c>
    </row>
    <row r="3" spans="1:10" ht="18" customHeight="1" x14ac:dyDescent="0.2">
      <c r="A3" s="51" t="s">
        <v>733</v>
      </c>
      <c r="B3" s="51"/>
      <c r="C3" s="51" t="s">
        <v>790</v>
      </c>
      <c r="D3" s="51"/>
      <c r="E3" s="51" t="s">
        <v>633</v>
      </c>
      <c r="F3" s="51"/>
      <c r="G3" s="51" t="s">
        <v>1553</v>
      </c>
      <c r="H3" s="51"/>
      <c r="I3" s="51" t="s">
        <v>744</v>
      </c>
      <c r="J3" s="51"/>
    </row>
    <row r="4" spans="1:10" ht="15" x14ac:dyDescent="0.2">
      <c r="A4" s="148" t="str">
        <f ca="1">HYPERLINK("#" &amp; CELL("address", Concepts!$A$43), "Remote")</f>
        <v>Remote</v>
      </c>
      <c r="B4" s="49" t="s">
        <v>1044</v>
      </c>
      <c r="C4" s="148" t="str">
        <f ca="1">HYPERLINK("#" &amp; CELL("address", Concepts!$A$111), "Sales")</f>
        <v>Sales</v>
      </c>
      <c r="D4" s="49" t="s">
        <v>842</v>
      </c>
      <c r="E4" s="96" t="str">
        <f ca="1">HYPERLINK("#" &amp; CELL("address", Concepts!$A$130), "Merchant category code")</f>
        <v>Merchant category code</v>
      </c>
      <c r="F4" s="49" t="s">
        <v>851</v>
      </c>
      <c r="G4" s="148" t="str">
        <f ca="1">HYPERLINK("#" &amp; CELL("address", Concepts!$A$145), "2-letter ISO 3166 country code")</f>
        <v>2-letter ISO 3166 country code</v>
      </c>
      <c r="H4" s="49" t="s">
        <v>360</v>
      </c>
      <c r="I4" s="148" t="str">
        <f ca="1">HYPERLINK("#" &amp; CELL("address", Concepts!$A$147), "Number of transactions")</f>
        <v>Number of transactions</v>
      </c>
      <c r="J4" s="49" t="s">
        <v>389</v>
      </c>
    </row>
    <row r="5" spans="1:10" ht="15" x14ac:dyDescent="0.2">
      <c r="A5" s="148" t="str">
        <f ca="1">HYPERLINK("#" &amp; CELL("address", Concepts!$A$44), "Non-remote")</f>
        <v>Non-remote</v>
      </c>
      <c r="B5" s="49" t="s">
        <v>1045</v>
      </c>
      <c r="I5" s="148" t="str">
        <f ca="1">HYPERLINK("#" &amp; CELL("address", Concepts!$A$148), "Value of transactions ")</f>
        <v xml:space="preserve">Value of transactions </v>
      </c>
      <c r="J5" s="49" t="s">
        <v>390</v>
      </c>
    </row>
    <row r="13" spans="1:10" x14ac:dyDescent="0.2">
      <c r="A13" t="s">
        <v>476</v>
      </c>
    </row>
    <row r="14" spans="1:10" x14ac:dyDescent="0.2">
      <c r="A14" s="53" t="str">
        <f ca="1">HYPERLINK("#" &amp; CELL("address",MCC!$A$1), "For the complete list of MCC codes, please see sheet 'MCC'.")</f>
        <v>For the complete list of MCC codes, please see sheet 'MCC'.</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5" tint="0.59999389629810485"/>
  </sheetPr>
  <dimension ref="A1:X42"/>
  <sheetViews>
    <sheetView zoomScale="85" zoomScaleNormal="85" workbookViewId="0"/>
  </sheetViews>
  <sheetFormatPr defaultRowHeight="14.25" x14ac:dyDescent="0.2"/>
  <cols>
    <col min="1" max="1" width="70.375" customWidth="1"/>
    <col min="3" max="3" width="32.625" customWidth="1"/>
    <col min="5" max="5" width="17.875" customWidth="1"/>
    <col min="7" max="7" width="32" customWidth="1"/>
    <col min="9" max="9" width="48.625" customWidth="1"/>
    <col min="11" max="11" width="27.375" customWidth="1"/>
    <col min="13" max="13" width="54.125" customWidth="1"/>
    <col min="15" max="15" width="61.75" customWidth="1"/>
    <col min="17" max="17" width="29.5" customWidth="1"/>
    <col min="19" max="19" width="30.75" customWidth="1"/>
    <col min="21" max="21" width="30.25" customWidth="1"/>
    <col min="22" max="22" width="11.25" customWidth="1"/>
    <col min="23" max="23" width="19.625" bestFit="1" customWidth="1"/>
    <col min="24" max="24" width="10.125" customWidth="1"/>
  </cols>
  <sheetData>
    <row r="1" spans="1:24" x14ac:dyDescent="0.2">
      <c r="A1" s="36" t="str">
        <f ca="1">HYPERLINK("#" &amp; CELL("address",INDEX!$A$1), "Go back to INDEX")</f>
        <v>Go back to INDEX</v>
      </c>
    </row>
    <row r="2" spans="1:24" ht="20.25" x14ac:dyDescent="0.2">
      <c r="A2" s="34" t="s">
        <v>1443</v>
      </c>
    </row>
    <row r="3" spans="1:24" ht="18.75" customHeight="1" x14ac:dyDescent="0.2">
      <c r="A3" s="51" t="s">
        <v>1437</v>
      </c>
      <c r="B3" s="51"/>
      <c r="C3" s="51" t="s">
        <v>805</v>
      </c>
      <c r="D3" s="51"/>
      <c r="E3" s="51" t="str">
        <f>'V1.50+V1.50-F'!E3</f>
        <v>Terminal type</v>
      </c>
      <c r="F3" s="51"/>
      <c r="G3" s="51" t="str">
        <f>'V1.50+V1.50-F'!G3</f>
        <v xml:space="preserve">Operation type </v>
      </c>
      <c r="H3" s="51"/>
      <c r="I3" s="51" t="str">
        <f>'V1.50+V1.50-F'!I3</f>
        <v>Initiation channel</v>
      </c>
      <c r="J3" s="51"/>
      <c r="K3" s="51" t="str">
        <f>'V1.50+V1.50-F'!K3</f>
        <v xml:space="preserve">Initiation sub-channel </v>
      </c>
      <c r="L3" s="51"/>
      <c r="M3" s="51" t="s">
        <v>422</v>
      </c>
      <c r="N3" s="51"/>
      <c r="O3" s="51" t="s">
        <v>469</v>
      </c>
      <c r="P3" s="51"/>
      <c r="Q3" s="51" t="s">
        <v>1555</v>
      </c>
      <c r="R3" s="51"/>
      <c r="S3" s="51" t="s">
        <v>1553</v>
      </c>
      <c r="T3" s="51"/>
      <c r="U3" s="51" t="s">
        <v>361</v>
      </c>
      <c r="V3" s="51"/>
      <c r="W3" s="51" t="s">
        <v>744</v>
      </c>
      <c r="X3" s="51"/>
    </row>
    <row r="4" spans="1:24" ht="15" customHeight="1" x14ac:dyDescent="0.2">
      <c r="A4" s="175" t="str">
        <f ca="1">HYPERLINK("#" &amp; CELL("address", Concepts!$A$95), "Debit card ")</f>
        <v xml:space="preserve">Debit card </v>
      </c>
      <c r="B4" s="49" t="s">
        <v>800</v>
      </c>
      <c r="C4" s="212" t="s">
        <v>116</v>
      </c>
      <c r="D4" s="49" t="s">
        <v>1036</v>
      </c>
      <c r="E4" s="175" t="str">
        <f ca="1">HYPERLINK("#" &amp; CELL("address", Concepts!$A$105), "ATM")</f>
        <v>ATM</v>
      </c>
      <c r="F4" s="49" t="s">
        <v>846</v>
      </c>
      <c r="G4" s="37" t="s">
        <v>1851</v>
      </c>
      <c r="I4" s="37" t="s">
        <v>910</v>
      </c>
      <c r="J4" s="49"/>
      <c r="K4" s="175" t="str">
        <f ca="1">HYPERLINK("#" &amp; CELL("address", Concepts!$A$43), "Remote")</f>
        <v>Remote</v>
      </c>
      <c r="L4" s="49" t="s">
        <v>1044</v>
      </c>
      <c r="M4" s="148" t="str">
        <f ca="1">HYPERLINK("#" &amp; CELL("address", Concepts!$A$47), "SCA used")</f>
        <v>SCA used</v>
      </c>
      <c r="N4" s="49" t="s">
        <v>1049</v>
      </c>
      <c r="O4" s="160" t="str">
        <f ca="1">HYPERLINK("#" &amp; CELL("address", Concepts!$A$59), "Not applicable")</f>
        <v>Not applicable</v>
      </c>
      <c r="P4" s="49" t="s">
        <v>761</v>
      </c>
      <c r="Q4" s="148" t="str">
        <f ca="1">HYPERLINK("#" &amp; CELL("address", Concepts!$A$145), "2-letter ISO 3166 country code")</f>
        <v>2-letter ISO 3166 country code</v>
      </c>
      <c r="R4" s="49" t="s">
        <v>360</v>
      </c>
      <c r="S4" s="148" t="str">
        <f ca="1">HYPERLINK("#" &amp; CELL("address", Concepts!$A$145), "2-letter ISO 3166 country code")</f>
        <v>2-letter ISO 3166 country code</v>
      </c>
      <c r="T4" s="49" t="s">
        <v>360</v>
      </c>
      <c r="U4" s="148" t="str">
        <f ca="1">HYPERLINK("#" &amp; CELL("address", Concepts!$A$146), "3-letter ISO 4217 currency code")</f>
        <v>3-letter ISO 4217 currency code</v>
      </c>
      <c r="V4" s="49" t="s">
        <v>362</v>
      </c>
      <c r="W4" s="148" t="str">
        <f ca="1">HYPERLINK("#" &amp; CELL("address", Concepts!$A$147), "Number of transactions")</f>
        <v>Number of transactions</v>
      </c>
      <c r="X4" s="49" t="s">
        <v>389</v>
      </c>
    </row>
    <row r="5" spans="1:24" ht="15" customHeight="1" x14ac:dyDescent="0.2">
      <c r="A5" s="175" t="str">
        <f ca="1">HYPERLINK("#" &amp; CELL("address", Concepts!$A$96), "Delayed debit card")</f>
        <v>Delayed debit card</v>
      </c>
      <c r="B5" s="49" t="s">
        <v>801</v>
      </c>
      <c r="C5" t="s">
        <v>907</v>
      </c>
      <c r="D5" s="49" t="s">
        <v>111</v>
      </c>
      <c r="E5" s="164" t="str">
        <f ca="1">HYPERLINK("#" &amp; CELL("address", Concepts!$A$106), "Point of sale (POS):")</f>
        <v>Point of sale (POS):</v>
      </c>
      <c r="F5" s="49"/>
      <c r="G5" s="96" t="str">
        <f ca="1">HYPERLINK("#" &amp; CELL("address", Concepts!$A$111), "╠═ Sales")</f>
        <v>╠═ Sales</v>
      </c>
      <c r="H5" s="49" t="s">
        <v>842</v>
      </c>
      <c r="I5" s="160" t="str">
        <f ca="1">HYPERLINK("#" &amp; CELL("address", Concepts!$A$117), "╠═ Contact-based transaction")</f>
        <v>╠═ Contact-based transaction</v>
      </c>
      <c r="J5" s="49" t="s">
        <v>1936</v>
      </c>
      <c r="K5" s="175" t="str">
        <f ca="1">HYPERLINK("#" &amp; CELL("address", Concepts!$A$44), "Non-remote")</f>
        <v>Non-remote</v>
      </c>
      <c r="L5" s="49" t="s">
        <v>1045</v>
      </c>
      <c r="M5" s="73" t="s">
        <v>479</v>
      </c>
      <c r="W5" s="148" t="str">
        <f ca="1">HYPERLINK("#" &amp; CELL("address", Concepts!$A$148), "Value of transactions ")</f>
        <v xml:space="preserve">Value of transactions </v>
      </c>
      <c r="X5" s="49" t="s">
        <v>390</v>
      </c>
    </row>
    <row r="6" spans="1:24" ht="15" customHeight="1" x14ac:dyDescent="0.2">
      <c r="A6" s="175" t="str">
        <f ca="1">HYPERLINK("#" &amp; CELL("address", Concepts!$A$97), "Credit card")</f>
        <v>Credit card</v>
      </c>
      <c r="B6" s="49" t="s">
        <v>802</v>
      </c>
      <c r="C6" s="212" t="s">
        <v>113</v>
      </c>
      <c r="D6" s="49" t="s">
        <v>113</v>
      </c>
      <c r="E6" s="175" t="str">
        <f ca="1">HYPERLINK("#" &amp; CELL("address", Concepts!$A$107), "╠═ EFTPOS")</f>
        <v>╠═ EFTPOS</v>
      </c>
      <c r="F6" s="49" t="s">
        <v>1500</v>
      </c>
      <c r="G6" s="96" t="str">
        <f ca="1">HYPERLINK("#" &amp; CELL("address", Concepts!$A$114), "╠═ Cash advance at a POS terminal")</f>
        <v>╠═ Cash advance at a POS terminal</v>
      </c>
      <c r="H6" s="49" t="s">
        <v>847</v>
      </c>
      <c r="I6" s="53" t="str">
        <f ca="1">HYPERLINK("#" &amp; CELL("address", Concepts!$A$119), "╠╗ Contactless transaction:")</f>
        <v>╠╗ Contactless transaction:</v>
      </c>
      <c r="J6" s="49"/>
      <c r="L6" s="49"/>
      <c r="M6" s="83" t="s">
        <v>871</v>
      </c>
    </row>
    <row r="7" spans="1:24" ht="15" customHeight="1" x14ac:dyDescent="0.2">
      <c r="A7" s="160" t="str">
        <f ca="1">HYPERLINK("#" &amp; CELL("address", Concepts!$A$98), "Mixed card (debit+credit)")</f>
        <v>Mixed card (debit+credit)</v>
      </c>
      <c r="B7" s="49" t="s">
        <v>990</v>
      </c>
      <c r="C7" t="s">
        <v>806</v>
      </c>
      <c r="D7" s="49" t="s">
        <v>124</v>
      </c>
      <c r="E7" s="175" t="str">
        <f ca="1">HYPERLINK("#" &amp; CELL("address", Concepts!$A$108), "╚═ Imprinter")</f>
        <v>╚═ Imprinter</v>
      </c>
      <c r="F7" s="49" t="s">
        <v>1501</v>
      </c>
      <c r="G7" s="96" t="str">
        <f ca="1">HYPERLINK("#" &amp; CELL("address", Concepts!$A$115), "╠═ ATM cash withdrawal")</f>
        <v>╠═ ATM cash withdrawal</v>
      </c>
      <c r="H7" s="49" t="s">
        <v>821</v>
      </c>
      <c r="I7" s="160" t="str">
        <f ca="1">HYPERLINK("#" &amp; CELL("address", Concepts!$A$120), "║╠═ using NFC")</f>
        <v>║╠═ using NFC</v>
      </c>
      <c r="J7" s="49" t="s">
        <v>850</v>
      </c>
      <c r="L7" s="49"/>
      <c r="M7" s="165" t="str">
        <f ca="1">HYPERLINK("#" &amp; CELL("address", Concepts!$A$51), "║╠═ Recurring transaction")</f>
        <v>║╠═ Recurring transaction</v>
      </c>
      <c r="N7" s="49" t="s">
        <v>1060</v>
      </c>
    </row>
    <row r="8" spans="1:24" ht="15" customHeight="1" x14ac:dyDescent="0.2">
      <c r="A8" s="175" t="str">
        <f ca="1">HYPERLINK("#" &amp; CELL("address", Concepts!$A$99), "Prepaid card")</f>
        <v>Prepaid card</v>
      </c>
      <c r="B8" s="49" t="s">
        <v>804</v>
      </c>
      <c r="C8" t="s">
        <v>808</v>
      </c>
      <c r="D8" s="49" t="s">
        <v>123</v>
      </c>
      <c r="E8" s="175" t="str">
        <f ca="1">HYPERLINK("#" &amp; CELL("address", Concepts!$A$109), "E-commerce")</f>
        <v>E-commerce</v>
      </c>
      <c r="F8" s="49" t="s">
        <v>727</v>
      </c>
      <c r="G8" t="s">
        <v>1855</v>
      </c>
      <c r="H8" s="49" t="s">
        <v>1852</v>
      </c>
      <c r="I8" s="160" t="str">
        <f ca="1">HYPERLINK("#" &amp; CELL("address", Concepts!$A$121), "║╚═ using other technology")</f>
        <v>║╚═ using other technology</v>
      </c>
      <c r="J8" s="49" t="s">
        <v>1041</v>
      </c>
      <c r="L8" s="49"/>
      <c r="M8" s="81" t="s">
        <v>1085</v>
      </c>
      <c r="N8" s="49" t="s">
        <v>364</v>
      </c>
    </row>
    <row r="9" spans="1:24" ht="15" customHeight="1" x14ac:dyDescent="0.2">
      <c r="A9" s="96" t="str">
        <f ca="1">HYPERLINK("#" &amp; CELL("address", Concepts!$A$182), "Cards which give access to e-money stored on a software based e-money account ")</f>
        <v xml:space="preserve">Cards which give access to e-money stored on a software based e-money account </v>
      </c>
      <c r="B9" s="49" t="s">
        <v>818</v>
      </c>
      <c r="C9" t="s">
        <v>122</v>
      </c>
      <c r="D9" s="49" t="s">
        <v>121</v>
      </c>
      <c r="E9" s="175" t="str">
        <f ca="1">HYPERLINK("#" &amp; CELL("address", Concepts!$A$110), "MOTO")</f>
        <v>MOTO</v>
      </c>
      <c r="F9" s="49" t="s">
        <v>399</v>
      </c>
      <c r="G9" s="37" t="s">
        <v>1853</v>
      </c>
      <c r="I9" s="39" t="s">
        <v>852</v>
      </c>
      <c r="J9" s="49"/>
      <c r="M9" s="83" t="s">
        <v>870</v>
      </c>
    </row>
    <row r="10" spans="1:24" s="21" customFormat="1" ht="15" customHeight="1" x14ac:dyDescent="0.2">
      <c r="A10" s="160" t="str">
        <f ca="1">HYPERLINK("#" &amp; CELL("address", Concepts!$A$100), "One-off card")</f>
        <v>One-off card</v>
      </c>
      <c r="B10" s="49" t="s">
        <v>991</v>
      </c>
      <c r="C10" t="s">
        <v>807</v>
      </c>
      <c r="D10" s="49" t="s">
        <v>119</v>
      </c>
      <c r="E10" s="21" t="s">
        <v>359</v>
      </c>
      <c r="F10" s="49" t="s">
        <v>364</v>
      </c>
      <c r="G10" s="196" t="str">
        <f ca="1">HYPERLINK("#" &amp; CELL("address", Concepts!$A$112), "╠═ Sales (credit)")</f>
        <v>╠═ Sales (credit)</v>
      </c>
      <c r="H10" s="195" t="s">
        <v>1765</v>
      </c>
      <c r="I10" s="160" t="str">
        <f ca="1">HYPERLINK("#" &amp; CELL("address", Concepts!$A$118), "╠═ Remote card transaction")</f>
        <v>╠═ Remote card transaction</v>
      </c>
      <c r="J10" s="49" t="s">
        <v>1937</v>
      </c>
      <c r="M10" s="165" t="str">
        <f ca="1">HYPERLINK("#" &amp; CELL("address", Concepts!$A$52), "║╠═ Contactless low value")</f>
        <v>║╠═ Contactless low value</v>
      </c>
      <c r="N10" s="49" t="s">
        <v>1061</v>
      </c>
    </row>
    <row r="11" spans="1:24" ht="15" customHeight="1" x14ac:dyDescent="0.2">
      <c r="A11" s="175" t="str">
        <f ca="1">HYPERLINK("#" &amp; CELL("address", Concepts!$A$101), "Other")</f>
        <v>Other</v>
      </c>
      <c r="B11" s="49" t="s">
        <v>364</v>
      </c>
      <c r="C11" s="160" t="str">
        <f ca="1">HYPERLINK("#" &amp; CELL("address", Concepts!$A$104), "Proprietary")</f>
        <v>Proprietary</v>
      </c>
      <c r="D11" s="49" t="s">
        <v>125</v>
      </c>
      <c r="G11" s="96" t="str">
        <f ca="1">HYPERLINK("#" &amp; CELL("address", Concepts!$A$113), "╠═ Refund")</f>
        <v>╠═ Refund</v>
      </c>
      <c r="H11" s="49" t="s">
        <v>1040</v>
      </c>
      <c r="I11" s="53" t="str">
        <f ca="1">HYPERLINK("#" &amp; CELL("address", Concepts!$A$38), "╠╗ Mobile payment solution (MPS):")</f>
        <v>╠╗ Mobile payment solution (MPS):</v>
      </c>
      <c r="J11" s="49"/>
      <c r="M11" s="165" t="str">
        <f ca="1">HYPERLINK("#" &amp; CELL("address", Concepts!$A$53), "║╚═ Unattended terminal for transport fares or parking fees")</f>
        <v>║╚═ Unattended terminal for transport fares or parking fees</v>
      </c>
      <c r="N11" s="49" t="s">
        <v>1062</v>
      </c>
    </row>
    <row r="12" spans="1:24" ht="15" customHeight="1" x14ac:dyDescent="0.2">
      <c r="C12" s="73" t="s">
        <v>359</v>
      </c>
      <c r="D12" s="49" t="s">
        <v>364</v>
      </c>
      <c r="G12" s="36" t="str">
        <f ca="1">HYPERLINK("#" &amp; CELL("address", Concepts!$A$116), "╠═ ATM cash deposit")</f>
        <v>╠═ ATM cash deposit</v>
      </c>
      <c r="H12" s="49" t="s">
        <v>822</v>
      </c>
      <c r="I12" s="160" t="str">
        <f ca="1">HYPERLINK("#" &amp; CELL("address", Concepts!$A$40), "║╠═ P2P MPS")</f>
        <v>║╠═ P2P MPS</v>
      </c>
      <c r="J12" s="49" t="s">
        <v>730</v>
      </c>
      <c r="M12" s="83" t="s">
        <v>872</v>
      </c>
    </row>
    <row r="13" spans="1:24" ht="15" customHeight="1" x14ac:dyDescent="0.2">
      <c r="G13" t="s">
        <v>1856</v>
      </c>
      <c r="H13" s="195" t="s">
        <v>1854</v>
      </c>
      <c r="I13" s="160" t="str">
        <f ca="1">HYPERLINK("#" &amp; CELL("address", Concepts!$A$41), "║╚═ Other MPS")</f>
        <v>║╚═ Other MPS</v>
      </c>
      <c r="J13" s="49" t="s">
        <v>731</v>
      </c>
      <c r="M13" s="165" t="str">
        <f ca="1">HYPERLINK("#" &amp; CELL("address", Concepts!$A$54), "║╠═ Low value")</f>
        <v>║╠═ Low value</v>
      </c>
      <c r="N13" s="49" t="s">
        <v>1063</v>
      </c>
    </row>
    <row r="14" spans="1:24" ht="15" customHeight="1" x14ac:dyDescent="0.2">
      <c r="I14" s="160" t="str">
        <f ca="1">HYPERLINK("#" &amp; CELL("address", Concepts!$A$42), "Other")</f>
        <v>Other</v>
      </c>
      <c r="J14" s="49" t="s">
        <v>364</v>
      </c>
      <c r="M14" s="165" t="str">
        <f ca="1">HYPERLINK("#" &amp; CELL("address", Concepts!$A$56), "║╠═ Transaction risk analysis")</f>
        <v>║╠═ Transaction risk analysis</v>
      </c>
      <c r="N14" s="49" t="s">
        <v>1065</v>
      </c>
    </row>
    <row r="15" spans="1:24" ht="15" customHeight="1" x14ac:dyDescent="0.2">
      <c r="J15" s="49"/>
      <c r="M15" s="165" t="str">
        <f ca="1">HYPERLINK("#" &amp; CELL("address", Concepts!$A$122), "║╚═ Merchant initiated transaction (MIT)")</f>
        <v>║╚═ Merchant initiated transaction (MIT)</v>
      </c>
      <c r="N15" s="49" t="s">
        <v>1069</v>
      </c>
    </row>
    <row r="16" spans="1:24" ht="15" customHeight="1" x14ac:dyDescent="0.2">
      <c r="J16" s="49"/>
      <c r="M16" s="160" t="str">
        <f ca="1">HYPERLINK("#" &amp; CELL("address", Concepts!$A$57), "Not applicable")</f>
        <v>Not applicable</v>
      </c>
      <c r="N16" s="49" t="s">
        <v>761</v>
      </c>
    </row>
    <row r="17" spans="1:24" ht="15" customHeight="1" x14ac:dyDescent="0.2"/>
    <row r="18" spans="1:24" ht="15" customHeight="1" x14ac:dyDescent="0.2"/>
    <row r="19" spans="1:24" ht="15" customHeight="1" x14ac:dyDescent="0.2"/>
    <row r="23" spans="1:24" ht="20.25" x14ac:dyDescent="0.2">
      <c r="A23" s="34" t="s">
        <v>1529</v>
      </c>
    </row>
    <row r="24" spans="1:24" ht="15" x14ac:dyDescent="0.2">
      <c r="A24" s="51" t="str">
        <f>IF(ISBLANK(A$3), "", A$3)</f>
        <v>Payment card type</v>
      </c>
      <c r="B24" s="51" t="str">
        <f t="shared" ref="B24:X24" si="0">IF(ISBLANK(B$3), "", B$3)</f>
        <v/>
      </c>
      <c r="C24" s="51" t="str">
        <f t="shared" si="0"/>
        <v>Payment card scheme</v>
      </c>
      <c r="D24" s="51" t="str">
        <f t="shared" si="0"/>
        <v/>
      </c>
      <c r="E24" s="51" t="str">
        <f t="shared" si="0"/>
        <v>Terminal type</v>
      </c>
      <c r="F24" s="51" t="str">
        <f t="shared" si="0"/>
        <v/>
      </c>
      <c r="G24" s="51" t="str">
        <f t="shared" si="0"/>
        <v xml:space="preserve">Operation type </v>
      </c>
      <c r="H24" s="51" t="str">
        <f t="shared" si="0"/>
        <v/>
      </c>
      <c r="I24" s="51" t="str">
        <f t="shared" si="0"/>
        <v>Initiation channel</v>
      </c>
      <c r="J24" s="51" t="str">
        <f t="shared" si="0"/>
        <v/>
      </c>
      <c r="K24" s="51" t="str">
        <f t="shared" si="0"/>
        <v xml:space="preserve">Initiation sub-channel </v>
      </c>
      <c r="L24" s="51" t="str">
        <f t="shared" si="0"/>
        <v/>
      </c>
      <c r="M24" s="51" t="str">
        <f t="shared" si="0"/>
        <v>SCA</v>
      </c>
      <c r="N24" s="51" t="str">
        <f t="shared" si="0"/>
        <v/>
      </c>
      <c r="O24" s="51" t="str">
        <f t="shared" si="0"/>
        <v>Fraud type</v>
      </c>
      <c r="P24" s="51" t="str">
        <f t="shared" si="0"/>
        <v/>
      </c>
      <c r="Q24" s="51" t="str">
        <f t="shared" si="0"/>
        <v>Country of issuer</v>
      </c>
      <c r="R24" s="51" t="str">
        <f t="shared" si="0"/>
        <v/>
      </c>
      <c r="S24" s="51" t="str">
        <f t="shared" si="0"/>
        <v>Country of terminal</v>
      </c>
      <c r="T24" s="51" t="str">
        <f t="shared" si="0"/>
        <v/>
      </c>
      <c r="U24" s="51" t="str">
        <f t="shared" si="0"/>
        <v>Currency</v>
      </c>
      <c r="V24" s="51" t="str">
        <f t="shared" si="0"/>
        <v/>
      </c>
      <c r="W24" s="51" t="str">
        <f t="shared" si="0"/>
        <v>Metric</v>
      </c>
      <c r="X24" s="51" t="str">
        <f t="shared" si="0"/>
        <v/>
      </c>
    </row>
    <row r="25" spans="1:24" ht="15" x14ac:dyDescent="0.2">
      <c r="A25" t="s">
        <v>1078</v>
      </c>
      <c r="C25" t="s">
        <v>1078</v>
      </c>
      <c r="E25" t="s">
        <v>1078</v>
      </c>
      <c r="G25" s="37" t="s">
        <v>1851</v>
      </c>
      <c r="I25" t="s">
        <v>1078</v>
      </c>
      <c r="K25" t="s">
        <v>1078</v>
      </c>
      <c r="M25" t="s">
        <v>1078</v>
      </c>
      <c r="O25" s="37" t="s">
        <v>480</v>
      </c>
      <c r="Q25" t="s">
        <v>1078</v>
      </c>
      <c r="S25" t="s">
        <v>1078</v>
      </c>
      <c r="U25" t="s">
        <v>1078</v>
      </c>
      <c r="W25" t="s">
        <v>1078</v>
      </c>
    </row>
    <row r="26" spans="1:24" ht="15" x14ac:dyDescent="0.2">
      <c r="G26" s="200" t="str">
        <f ca="1">HYPERLINK("#" &amp; CELL("address", Concepts!$A$111), "╠═ Sales")</f>
        <v>╠═ Sales</v>
      </c>
      <c r="H26" s="49" t="s">
        <v>842</v>
      </c>
      <c r="O26" s="73" t="s">
        <v>1779</v>
      </c>
    </row>
    <row r="27" spans="1:24" ht="15" x14ac:dyDescent="0.2">
      <c r="G27" s="200" t="str">
        <f ca="1">HYPERLINK("#" &amp; CELL("address", Concepts!$A$114), "╠═ Cash advance at a POS terminal")</f>
        <v>╠═ Cash advance at a POS terminal</v>
      </c>
      <c r="H27" s="49" t="s">
        <v>847</v>
      </c>
      <c r="O27" s="96" t="str">
        <f ca="1">HYPERLINK("#" &amp; CELL("address", Concepts!$A$123), "║╠═ Lost or Stolen card")</f>
        <v>║╠═ Lost or Stolen card</v>
      </c>
      <c r="P27" s="49" t="s">
        <v>1070</v>
      </c>
    </row>
    <row r="28" spans="1:24" ht="15" x14ac:dyDescent="0.2">
      <c r="G28" s="200" t="str">
        <f ca="1">HYPERLINK("#" &amp; CELL("address", Concepts!$A$115), "╠═ ATM cash withdrawal")</f>
        <v>╠═ ATM cash withdrawal</v>
      </c>
      <c r="H28" s="49" t="s">
        <v>821</v>
      </c>
      <c r="O28" s="96" t="str">
        <f ca="1">HYPERLINK("#" &amp; CELL("address", Concepts!$A$125), "║╠═ Card Not Received ")</f>
        <v xml:space="preserve">║╠═ Card Not Received </v>
      </c>
      <c r="P28" s="49" t="s">
        <v>1071</v>
      </c>
    </row>
    <row r="29" spans="1:24" ht="15" x14ac:dyDescent="0.2">
      <c r="G29" s="201" t="s">
        <v>1855</v>
      </c>
      <c r="H29" s="49" t="s">
        <v>1852</v>
      </c>
      <c r="O29" s="96" t="str">
        <f ca="1">HYPERLINK("#" &amp; CELL("address", Concepts!$A$127), "║╠═ Counterfeit card ")</f>
        <v xml:space="preserve">║╠═ Counterfeit card </v>
      </c>
      <c r="P29" s="49" t="s">
        <v>1072</v>
      </c>
    </row>
    <row r="30" spans="1:24" ht="15" x14ac:dyDescent="0.2">
      <c r="O30" s="73" t="s">
        <v>1085</v>
      </c>
      <c r="P30" s="49" t="s">
        <v>364</v>
      </c>
    </row>
    <row r="31" spans="1:24" ht="15" x14ac:dyDescent="0.2">
      <c r="O31" s="175" t="str">
        <f ca="1">HYPERLINK("#" &amp; CELL("address", Concepts!$A$61), "╠═ Modification of a payment order by the fraudster")</f>
        <v>╠═ Modification of a payment order by the fraudster</v>
      </c>
      <c r="P31" s="49" t="s">
        <v>1066</v>
      </c>
    </row>
    <row r="32" spans="1:24" ht="15" x14ac:dyDescent="0.2">
      <c r="O32" s="175" t="str">
        <f ca="1">HYPERLINK("#" &amp; CELL("address", Concepts!$A$64), "╠═ Manipulation of the payer to make a card payment/cash withdrawal")</f>
        <v>╠═ Manipulation of the payer to make a card payment/cash withdrawal</v>
      </c>
      <c r="P32" s="49" t="s">
        <v>1083</v>
      </c>
    </row>
    <row r="33" spans="1:16" ht="15" x14ac:dyDescent="0.2">
      <c r="O33" s="37" t="s">
        <v>852</v>
      </c>
      <c r="P33" s="49"/>
    </row>
    <row r="34" spans="1:16" x14ac:dyDescent="0.2">
      <c r="O34" s="73" t="s">
        <v>1777</v>
      </c>
    </row>
    <row r="35" spans="1:16" ht="15" x14ac:dyDescent="0.2">
      <c r="O35" s="96" t="str">
        <f ca="1">HYPERLINK("#" &amp; CELL("address", Concepts!$A$129), "║╚═ Card details theft")</f>
        <v>║╚═ Card details theft</v>
      </c>
      <c r="P35" s="49" t="s">
        <v>1073</v>
      </c>
    </row>
    <row r="39" spans="1:16" ht="15" x14ac:dyDescent="0.2">
      <c r="A39" s="37" t="s">
        <v>476</v>
      </c>
    </row>
    <row r="40" spans="1:16" x14ac:dyDescent="0.2">
      <c r="A40" t="s">
        <v>2368</v>
      </c>
    </row>
    <row r="41" spans="1:16" x14ac:dyDescent="0.2">
      <c r="A41" s="242" t="str">
        <f ca="1">HYPERLINK("#" &amp; CELL("address", Concepts!$A$221), "See definition of 'Acquirer'")</f>
        <v>See definition of 'Acquirer'</v>
      </c>
    </row>
    <row r="42" spans="1:16" x14ac:dyDescent="0.2">
      <c r="A42" s="242" t="str">
        <f ca="1">HYPERLINK("#" &amp; CELL("address", Concepts!$A$222), "See definition of 'Acquiring of payment transactions'")</f>
        <v>See definition of 'Acquiring of payment transactions'</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J12"/>
  <sheetViews>
    <sheetView workbookViewId="0">
      <selection activeCell="E4" sqref="E4"/>
    </sheetView>
  </sheetViews>
  <sheetFormatPr defaultRowHeight="14.25" x14ac:dyDescent="0.2"/>
  <cols>
    <col min="1" max="1" width="28.125" customWidth="1"/>
    <col min="2" max="2" width="9.125" customWidth="1"/>
    <col min="3" max="3" width="14.125" bestFit="1" customWidth="1"/>
    <col min="5" max="5" width="28.125" customWidth="1"/>
    <col min="6" max="6" width="8.5" customWidth="1"/>
    <col min="7" max="7" width="27.25" bestFit="1" customWidth="1"/>
    <col min="8" max="8" width="12.75" customWidth="1"/>
    <col min="9" max="9" width="20.75" customWidth="1"/>
  </cols>
  <sheetData>
    <row r="1" spans="1:10" x14ac:dyDescent="0.2">
      <c r="A1" s="36" t="str">
        <f ca="1">HYPERLINK("#" &amp; CELL("address",INDEX!$A$1), "Go back to INDEX")</f>
        <v>Go back to INDEX</v>
      </c>
    </row>
    <row r="2" spans="1:10" ht="20.25" x14ac:dyDescent="0.2">
      <c r="A2" s="34" t="s">
        <v>1442</v>
      </c>
      <c r="B2" s="37"/>
      <c r="C2" s="37"/>
    </row>
    <row r="3" spans="1:10" ht="22.5" customHeight="1" x14ac:dyDescent="0.2">
      <c r="A3" s="51" t="s">
        <v>805</v>
      </c>
      <c r="B3" s="51"/>
      <c r="C3" s="51" t="s">
        <v>790</v>
      </c>
      <c r="D3" s="51"/>
      <c r="E3" s="51" t="s">
        <v>861</v>
      </c>
      <c r="F3" s="51"/>
      <c r="G3" s="51" t="s">
        <v>361</v>
      </c>
      <c r="H3" s="51"/>
      <c r="I3" s="51" t="s">
        <v>744</v>
      </c>
      <c r="J3" s="51"/>
    </row>
    <row r="4" spans="1:10" ht="15.75" customHeight="1" x14ac:dyDescent="0.2">
      <c r="A4" t="s">
        <v>116</v>
      </c>
      <c r="B4" s="49" t="s">
        <v>1036</v>
      </c>
      <c r="C4" s="160" t="str">
        <f ca="1">HYPERLINK("#" &amp; CELL("address", Concepts!$A$131), "Funding")</f>
        <v>Funding</v>
      </c>
      <c r="D4" s="49" t="s">
        <v>859</v>
      </c>
      <c r="E4" s="160" t="str">
        <f ca="1">HYPERLINK("#" &amp; CELL("address", Concepts!$A$133), "Cash")</f>
        <v>Cash</v>
      </c>
      <c r="F4" s="49" t="s">
        <v>57</v>
      </c>
      <c r="G4" s="160" t="str">
        <f ca="1">HYPERLINK("#" &amp; CELL("address", Concepts!$A$146), "3-letter ISO 4217 currency code")</f>
        <v>3-letter ISO 4217 currency code</v>
      </c>
      <c r="H4" s="49" t="s">
        <v>362</v>
      </c>
      <c r="I4" s="160" t="str">
        <f ca="1">HYPERLINK("#" &amp; CELL("address", Concepts!$A$147), "Number of transactions")</f>
        <v>Number of transactions</v>
      </c>
      <c r="J4" s="49" t="s">
        <v>389</v>
      </c>
    </row>
    <row r="5" spans="1:10" ht="15" x14ac:dyDescent="0.2">
      <c r="A5" t="s">
        <v>907</v>
      </c>
      <c r="B5" s="49" t="s">
        <v>111</v>
      </c>
      <c r="C5" s="160" t="str">
        <f ca="1">HYPERLINK("#" &amp; CELL("address", Concepts!$A$132), "Withdrawal")</f>
        <v>Withdrawal</v>
      </c>
      <c r="D5" s="49" t="s">
        <v>860</v>
      </c>
      <c r="E5" s="160" t="str">
        <f ca="1">HYPERLINK("#" &amp; CELL("address", Concepts!$A$134), "Credit transfer")</f>
        <v>Credit transfer</v>
      </c>
      <c r="F5" s="49" t="s">
        <v>770</v>
      </c>
      <c r="I5" s="160" t="str">
        <f ca="1">HYPERLINK("#" &amp; CELL("address", Concepts!$A$148), "Value of transactions ")</f>
        <v xml:space="preserve">Value of transactions </v>
      </c>
      <c r="J5" s="49" t="s">
        <v>390</v>
      </c>
    </row>
    <row r="6" spans="1:10" ht="15" x14ac:dyDescent="0.2">
      <c r="A6" t="s">
        <v>113</v>
      </c>
      <c r="B6" s="49" t="s">
        <v>113</v>
      </c>
      <c r="E6" s="160" t="str">
        <f ca="1">HYPERLINK("#" &amp; CELL("address", Concepts!$A$135), "Direct debit")</f>
        <v>Direct debit</v>
      </c>
      <c r="F6" s="49" t="s">
        <v>764</v>
      </c>
    </row>
    <row r="7" spans="1:10" ht="15" x14ac:dyDescent="0.2">
      <c r="A7" t="s">
        <v>806</v>
      </c>
      <c r="B7" s="49" t="s">
        <v>124</v>
      </c>
      <c r="E7" s="160" t="str">
        <f ca="1">HYPERLINK("#" &amp; CELL("address", Concepts!$A$136), "Payment card")</f>
        <v>Payment card</v>
      </c>
      <c r="F7" s="49" t="s">
        <v>1037</v>
      </c>
    </row>
    <row r="8" spans="1:10" ht="15" x14ac:dyDescent="0.2">
      <c r="A8" t="s">
        <v>808</v>
      </c>
      <c r="B8" s="49" t="s">
        <v>123</v>
      </c>
      <c r="E8" t="s">
        <v>359</v>
      </c>
      <c r="F8" s="49" t="s">
        <v>364</v>
      </c>
    </row>
    <row r="9" spans="1:10" ht="15" x14ac:dyDescent="0.2">
      <c r="A9" t="s">
        <v>122</v>
      </c>
      <c r="B9" s="49" t="s">
        <v>121</v>
      </c>
      <c r="F9" s="49"/>
    </row>
    <row r="10" spans="1:10" ht="15" x14ac:dyDescent="0.2">
      <c r="A10" t="s">
        <v>807</v>
      </c>
      <c r="B10" s="49" t="s">
        <v>119</v>
      </c>
      <c r="F10" s="49"/>
    </row>
    <row r="11" spans="1:10" ht="15" x14ac:dyDescent="0.2">
      <c r="A11" s="160" t="str">
        <f ca="1">HYPERLINK("#" &amp; CELL("address", Concepts!$A$104), "Proprietary")</f>
        <v>Proprietary</v>
      </c>
      <c r="B11" s="49" t="s">
        <v>125</v>
      </c>
    </row>
    <row r="12" spans="1:10" ht="15" x14ac:dyDescent="0.2">
      <c r="A12" t="s">
        <v>359</v>
      </c>
      <c r="B12" s="49" t="s">
        <v>364</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5" tint="0.59999389629810485"/>
  </sheetPr>
  <dimension ref="A1:N29"/>
  <sheetViews>
    <sheetView workbookViewId="0"/>
  </sheetViews>
  <sheetFormatPr defaultRowHeight="14.25" x14ac:dyDescent="0.2"/>
  <cols>
    <col min="1" max="1" width="37.25" customWidth="1"/>
    <col min="3" max="3" width="24.5" customWidth="1"/>
    <col min="4" max="4" width="7.625" customWidth="1"/>
    <col min="5" max="5" width="22.625" customWidth="1"/>
    <col min="6" max="6" width="6.5" customWidth="1"/>
    <col min="7" max="7" width="31.5" customWidth="1"/>
    <col min="8" max="8" width="6.5" customWidth="1"/>
    <col min="9" max="9" width="30.25" customWidth="1"/>
    <col min="11" max="11" width="28.875" customWidth="1"/>
    <col min="12" max="12" width="12.625" customWidth="1"/>
    <col min="13" max="13" width="22.5" customWidth="1"/>
    <col min="14" max="14" width="7.25" customWidth="1"/>
  </cols>
  <sheetData>
    <row r="1" spans="1:14" x14ac:dyDescent="0.2">
      <c r="A1" s="36" t="str">
        <f ca="1">HYPERLINK("#" &amp; CELL("address",INDEX!$A$1), "Go back to INDEX")</f>
        <v>Go back to INDEX</v>
      </c>
    </row>
    <row r="2" spans="1:14" ht="20.25" x14ac:dyDescent="0.2">
      <c r="A2" s="34" t="s">
        <v>1813</v>
      </c>
    </row>
    <row r="3" spans="1:14" ht="18" customHeight="1" x14ac:dyDescent="0.2">
      <c r="A3" s="51" t="s">
        <v>902</v>
      </c>
      <c r="B3" s="51"/>
      <c r="C3" s="51" t="s">
        <v>752</v>
      </c>
      <c r="D3" s="51"/>
      <c r="E3" s="51" t="s">
        <v>108</v>
      </c>
      <c r="F3" s="51"/>
      <c r="G3" s="51" t="s">
        <v>750</v>
      </c>
      <c r="H3" s="51"/>
      <c r="I3" s="51" t="s">
        <v>749</v>
      </c>
      <c r="J3" s="51"/>
      <c r="K3" s="51" t="s">
        <v>361</v>
      </c>
      <c r="L3" s="51"/>
      <c r="M3" s="51" t="s">
        <v>744</v>
      </c>
      <c r="N3" s="51"/>
    </row>
    <row r="4" spans="1:14" ht="14.25" customHeight="1" x14ac:dyDescent="0.2">
      <c r="A4" s="148" t="str">
        <f ca="1">HYPERLINK("#" &amp; CELL("address", Concepts!$A$76), "Debtor's PSP")</f>
        <v>Debtor's PSP</v>
      </c>
      <c r="B4" s="49" t="s">
        <v>781</v>
      </c>
      <c r="C4" s="175" t="str">
        <f ca="1">HYPERLINK("#" &amp; CELL("address", Concepts!$A$137), "Cheque")</f>
        <v>Cheque</v>
      </c>
      <c r="D4" s="49" t="s">
        <v>20</v>
      </c>
      <c r="E4" s="160" t="str">
        <f ca="1">HYPERLINK("#" &amp; CELL("address", Concepts!$A$141), "Bilateral exchange")</f>
        <v>Bilateral exchange</v>
      </c>
      <c r="F4" s="49" t="s">
        <v>892</v>
      </c>
      <c r="G4" s="86" t="s">
        <v>931</v>
      </c>
      <c r="H4" s="49"/>
      <c r="I4" s="86" t="s">
        <v>931</v>
      </c>
      <c r="J4" s="49"/>
      <c r="K4" s="160" t="str">
        <f ca="1">HYPERLINK("#" &amp; CELL("address", Concepts!$A$146), "3-letter ISO 4217 currency code")</f>
        <v>3-letter ISO 4217 currency code</v>
      </c>
      <c r="L4" s="49" t="s">
        <v>362</v>
      </c>
      <c r="M4" s="148" t="str">
        <f ca="1">HYPERLINK("#" &amp; CELL("address", Concepts!$A$147), "Number of transactions ")</f>
        <v xml:space="preserve">Number of transactions </v>
      </c>
      <c r="N4" s="49" t="s">
        <v>389</v>
      </c>
    </row>
    <row r="5" spans="1:14" ht="14.25" customHeight="1" x14ac:dyDescent="0.2">
      <c r="A5" s="148" t="str">
        <f ca="1">HYPERLINK("#" &amp; CELL("address", Concepts!$A$77), "Creditor's PSP")</f>
        <v>Creditor's PSP</v>
      </c>
      <c r="B5" s="49" t="s">
        <v>782</v>
      </c>
      <c r="C5" s="175" t="str">
        <f ca="1">HYPERLINK("#" &amp; CELL("address", Concepts!$A$138), "Money remittance")</f>
        <v>Money remittance</v>
      </c>
      <c r="D5" s="49" t="s">
        <v>1814</v>
      </c>
      <c r="E5" s="160" t="str">
        <f ca="1">HYPERLINK("#" &amp; CELL("address", Concepts!$A$142), "On-us")</f>
        <v>On-us</v>
      </c>
      <c r="F5" s="49" t="s">
        <v>55</v>
      </c>
      <c r="G5" s="73" t="s">
        <v>773</v>
      </c>
      <c r="H5" s="49" t="s">
        <v>772</v>
      </c>
      <c r="I5" s="148" t="str">
        <f ca="1">HYPERLINK("#" &amp; CELL("address", Concepts!$A$145), "2-letter ISO 3166 country code")</f>
        <v>2-letter ISO 3166 country code</v>
      </c>
      <c r="J5" s="49" t="s">
        <v>360</v>
      </c>
      <c r="M5" s="148" t="str">
        <f ca="1">HYPERLINK("#" &amp; CELL("address", Concepts!$A$148), "Value of transactions")</f>
        <v>Value of transactions</v>
      </c>
      <c r="N5" s="49" t="s">
        <v>390</v>
      </c>
    </row>
    <row r="6" spans="1:14" ht="14.25" customHeight="1" x14ac:dyDescent="0.2">
      <c r="C6" s="57" t="s">
        <v>887</v>
      </c>
      <c r="D6" s="49"/>
      <c r="E6" s="160" t="str">
        <f ca="1">HYPERLINK("#" &amp; CELL("address", Concepts!$A$143), "Moneygram")</f>
        <v>Moneygram</v>
      </c>
      <c r="F6" s="49" t="s">
        <v>890</v>
      </c>
      <c r="G6" s="86" t="s">
        <v>932</v>
      </c>
      <c r="H6" s="49"/>
      <c r="I6" s="86" t="s">
        <v>932</v>
      </c>
      <c r="J6" s="49"/>
    </row>
    <row r="7" spans="1:14" ht="14.25" customHeight="1" x14ac:dyDescent="0.2">
      <c r="C7" s="160" t="str">
        <f ca="1">HYPERLINK("#" &amp; CELL("address", Concepts!$A$140), "╚═ Postal order")</f>
        <v>╚═ Postal order</v>
      </c>
      <c r="D7" s="49" t="s">
        <v>888</v>
      </c>
      <c r="E7" s="160" t="str">
        <f ca="1">HYPERLINK("#" &amp; CELL("address", Concepts!$A$144), "Western Union")</f>
        <v>Western Union</v>
      </c>
      <c r="F7" s="49" t="s">
        <v>891</v>
      </c>
      <c r="G7" s="148" t="str">
        <f ca="1">HYPERLINK("#" &amp; CELL("address", Concepts!$A$145), "2-letter ISO 3166 country code")</f>
        <v>2-letter ISO 3166 country code</v>
      </c>
      <c r="H7" s="49" t="s">
        <v>360</v>
      </c>
      <c r="I7" s="73" t="s">
        <v>773</v>
      </c>
      <c r="J7" s="49" t="s">
        <v>772</v>
      </c>
    </row>
    <row r="8" spans="1:14" ht="14.25" customHeight="1" x14ac:dyDescent="0.2">
      <c r="D8" s="49"/>
      <c r="E8" t="s">
        <v>359</v>
      </c>
      <c r="F8" s="49" t="s">
        <v>364</v>
      </c>
      <c r="G8" s="49"/>
      <c r="H8" s="49"/>
      <c r="J8" s="49"/>
    </row>
    <row r="9" spans="1:14" ht="14.25" customHeight="1" x14ac:dyDescent="0.2">
      <c r="D9" s="49"/>
      <c r="F9" s="49"/>
      <c r="G9" s="49"/>
      <c r="H9" s="49"/>
    </row>
    <row r="10" spans="1:14" ht="15" x14ac:dyDescent="0.2">
      <c r="D10" s="49"/>
      <c r="F10" s="49"/>
      <c r="G10" s="49"/>
      <c r="H10" s="49"/>
    </row>
    <row r="11" spans="1:14" ht="15" x14ac:dyDescent="0.2">
      <c r="D11" s="49"/>
      <c r="F11" s="49"/>
      <c r="G11" s="49"/>
      <c r="H11" s="49"/>
    </row>
    <row r="12" spans="1:14" ht="15" x14ac:dyDescent="0.2">
      <c r="D12" s="49"/>
      <c r="F12" s="49"/>
      <c r="G12" s="49"/>
      <c r="H12" s="49"/>
    </row>
    <row r="13" spans="1:14" ht="15" x14ac:dyDescent="0.2">
      <c r="D13" s="49"/>
      <c r="F13" s="49"/>
      <c r="G13" s="49"/>
      <c r="H13" s="49"/>
    </row>
    <row r="14" spans="1:14" ht="15" x14ac:dyDescent="0.2">
      <c r="D14" s="49"/>
      <c r="F14" s="49"/>
      <c r="G14" s="49"/>
      <c r="H14" s="49"/>
    </row>
    <row r="15" spans="1:14" ht="15" x14ac:dyDescent="0.2">
      <c r="D15" s="49"/>
      <c r="F15" s="49"/>
      <c r="G15" s="49"/>
      <c r="H15" s="49"/>
    </row>
    <row r="16" spans="1:14" ht="15" x14ac:dyDescent="0.2">
      <c r="D16" s="49"/>
      <c r="F16" s="49"/>
      <c r="G16" s="49"/>
      <c r="H16" s="49"/>
    </row>
    <row r="17" spans="1:14" ht="15" x14ac:dyDescent="0.2">
      <c r="D17" s="49"/>
      <c r="F17" s="49"/>
      <c r="G17" s="49"/>
      <c r="H17" s="49"/>
    </row>
    <row r="18" spans="1:14" ht="15" x14ac:dyDescent="0.2">
      <c r="D18" s="49"/>
      <c r="F18" s="49"/>
      <c r="G18" s="49"/>
      <c r="H18" s="49"/>
    </row>
    <row r="19" spans="1:14" ht="15" x14ac:dyDescent="0.2">
      <c r="D19" s="49"/>
      <c r="F19" s="49"/>
      <c r="G19" s="49"/>
      <c r="H19" s="49"/>
    </row>
    <row r="20" spans="1:14" ht="15" x14ac:dyDescent="0.2">
      <c r="D20" s="49"/>
      <c r="F20" s="49"/>
      <c r="G20" s="49"/>
      <c r="H20" s="49"/>
    </row>
    <row r="21" spans="1:14" ht="15" x14ac:dyDescent="0.2">
      <c r="D21" s="49"/>
      <c r="F21" s="49"/>
      <c r="G21" s="49"/>
      <c r="H21" s="49"/>
    </row>
    <row r="22" spans="1:14" ht="15" x14ac:dyDescent="0.2">
      <c r="D22" s="49"/>
      <c r="F22" s="49"/>
      <c r="G22" s="49"/>
      <c r="H22" s="49"/>
    </row>
    <row r="23" spans="1:14" ht="20.25" x14ac:dyDescent="0.2">
      <c r="A23" s="34" t="s">
        <v>2607</v>
      </c>
      <c r="D23" s="49"/>
      <c r="F23" s="49"/>
      <c r="G23" s="49"/>
      <c r="H23" s="49"/>
    </row>
    <row r="24" spans="1:14" ht="14.25" customHeight="1" x14ac:dyDescent="0.2">
      <c r="A24" s="51" t="s">
        <v>902</v>
      </c>
      <c r="B24" s="51"/>
      <c r="C24" s="51" t="str">
        <f>IF(ISBLANK(C3), "", C3)</f>
        <v xml:space="preserve">Payment instrument type </v>
      </c>
      <c r="D24" s="51" t="str">
        <f t="shared" ref="D24:N24" si="0">IF(ISBLANK(D3), "", D3)</f>
        <v/>
      </c>
      <c r="E24" s="51" t="str">
        <f t="shared" si="0"/>
        <v>Transmission channel</v>
      </c>
      <c r="F24" s="51" t="str">
        <f t="shared" si="0"/>
        <v/>
      </c>
      <c r="G24" s="51" t="str">
        <f t="shared" si="0"/>
        <v>Country of debtor's PSP</v>
      </c>
      <c r="H24" s="51" t="str">
        <f t="shared" si="0"/>
        <v/>
      </c>
      <c r="I24" s="51" t="str">
        <f t="shared" si="0"/>
        <v>Country of creditor's PSP</v>
      </c>
      <c r="J24" s="51" t="str">
        <f t="shared" si="0"/>
        <v/>
      </c>
      <c r="K24" s="51" t="str">
        <f t="shared" si="0"/>
        <v>Currency</v>
      </c>
      <c r="L24" s="51" t="str">
        <f t="shared" si="0"/>
        <v/>
      </c>
      <c r="M24" s="51" t="str">
        <f t="shared" si="0"/>
        <v>Metric</v>
      </c>
      <c r="N24" s="51" t="str">
        <f t="shared" si="0"/>
        <v/>
      </c>
    </row>
    <row r="25" spans="1:14" ht="15" x14ac:dyDescent="0.2">
      <c r="A25" s="57" t="s">
        <v>2601</v>
      </c>
      <c r="C25" t="s">
        <v>1078</v>
      </c>
      <c r="D25" s="49"/>
      <c r="E25" t="s">
        <v>1078</v>
      </c>
      <c r="F25" s="49"/>
      <c r="G25" t="s">
        <v>1078</v>
      </c>
      <c r="H25" s="49"/>
      <c r="I25" t="s">
        <v>1078</v>
      </c>
      <c r="J25" s="49"/>
      <c r="K25" t="s">
        <v>1078</v>
      </c>
      <c r="L25" s="49"/>
      <c r="M25" t="s">
        <v>1078</v>
      </c>
      <c r="N25" s="49"/>
    </row>
    <row r="26" spans="1:14" ht="15" x14ac:dyDescent="0.2">
      <c r="A26" s="148" t="str">
        <f ca="1">HYPERLINK("#" &amp; CELL("address", Concepts!$A$76), "Debtor's PSP")</f>
        <v>Debtor's PSP</v>
      </c>
      <c r="B26" s="49" t="s">
        <v>781</v>
      </c>
      <c r="D26" s="49"/>
    </row>
    <row r="27" spans="1:14" ht="15" x14ac:dyDescent="0.2">
      <c r="A27" s="57" t="s">
        <v>2602</v>
      </c>
      <c r="D27" s="49"/>
    </row>
    <row r="28" spans="1:14" ht="15" x14ac:dyDescent="0.2">
      <c r="A28" s="148" t="str">
        <f ca="1">HYPERLINK("#" &amp; CELL("address", Concepts!$A$77), "Creditor's PSP")</f>
        <v>Creditor's PSP</v>
      </c>
      <c r="B28" s="49" t="s">
        <v>782</v>
      </c>
      <c r="D28" s="49"/>
    </row>
    <row r="29" spans="1:14" ht="15" x14ac:dyDescent="0.2">
      <c r="D29" s="4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55"/>
  <sheetViews>
    <sheetView tabSelected="1" workbookViewId="0"/>
  </sheetViews>
  <sheetFormatPr defaultRowHeight="14.25" x14ac:dyDescent="0.2"/>
  <cols>
    <col min="1" max="1" width="18.125" customWidth="1"/>
    <col min="2" max="2" width="16.375" customWidth="1"/>
    <col min="3" max="3" width="98" customWidth="1"/>
  </cols>
  <sheetData>
    <row r="1" spans="1:3" ht="20.25" x14ac:dyDescent="0.2">
      <c r="A1" s="38" t="s">
        <v>478</v>
      </c>
    </row>
    <row r="2" spans="1:3" x14ac:dyDescent="0.2">
      <c r="A2" s="245" t="str">
        <f>"Last update: "&amp;TEXT(MAX(Modifications!$A:$A),"yyyy-mm-dd")</f>
        <v>Last update: 2023-12-12</v>
      </c>
    </row>
    <row r="3" spans="1:3" ht="18" x14ac:dyDescent="0.2">
      <c r="A3" s="95" t="s">
        <v>1550</v>
      </c>
      <c r="C3" s="53"/>
    </row>
    <row r="4" spans="1:3" ht="15" x14ac:dyDescent="0.2">
      <c r="A4" s="51" t="s">
        <v>725</v>
      </c>
      <c r="B4" s="51" t="s">
        <v>368</v>
      </c>
      <c r="C4" s="51" t="s">
        <v>1103</v>
      </c>
    </row>
    <row r="5" spans="1:3" x14ac:dyDescent="0.2">
      <c r="A5" t="s">
        <v>1533</v>
      </c>
      <c r="B5" t="s">
        <v>1095</v>
      </c>
      <c r="C5" s="96" t="str">
        <f ca="1">HYPERLINK("#" &amp; CELL("address", 'V1.20+V1.20-F'!$A$2), "Customer credit transfers sent (payments)")</f>
        <v>Customer credit transfers sent (payments)</v>
      </c>
    </row>
    <row r="6" spans="1:3" x14ac:dyDescent="0.2">
      <c r="A6" t="s">
        <v>1533</v>
      </c>
      <c r="B6" t="s">
        <v>1540</v>
      </c>
      <c r="C6" s="96" t="str">
        <f ca="1">HYPERLINK("#" &amp; CELL("address", 'V1.20+V1.20-F'!$A$23), "Customer credit transfers sent (fraud)")</f>
        <v>Customer credit transfers sent (fraud)</v>
      </c>
    </row>
    <row r="7" spans="1:3" x14ac:dyDescent="0.2">
      <c r="A7" t="s">
        <v>1096</v>
      </c>
      <c r="B7" t="s">
        <v>1096</v>
      </c>
      <c r="C7" s="96" t="str">
        <f ca="1">HYPERLINK("#" &amp; CELL("address", 'V1.21'!$A$2), "Customer credit transfers received")</f>
        <v>Customer credit transfers received</v>
      </c>
    </row>
    <row r="8" spans="1:3" x14ac:dyDescent="0.2">
      <c r="A8" t="s">
        <v>1771</v>
      </c>
      <c r="B8" t="s">
        <v>373</v>
      </c>
      <c r="C8" s="96" t="str">
        <f ca="1">HYPERLINK("#" &amp; CELL("address", 'V1.30+V1.30-F'!$A$2), "Direct debits - reporting as creditor's PSP (payments)")</f>
        <v>Direct debits - reporting as creditor's PSP (payments)</v>
      </c>
    </row>
    <row r="9" spans="1:3" x14ac:dyDescent="0.2">
      <c r="A9" t="s">
        <v>1771</v>
      </c>
      <c r="B9" t="s">
        <v>1541</v>
      </c>
      <c r="C9" s="96" t="str">
        <f ca="1">HYPERLINK("#" &amp; CELL("address", 'V1.30+V1.30-F'!$A$23), "Direct debits - reporting as creditor's PSP (fraud)")</f>
        <v>Direct debits - reporting as creditor's PSP (fraud)</v>
      </c>
    </row>
    <row r="10" spans="1:3" x14ac:dyDescent="0.2">
      <c r="A10" t="s">
        <v>1097</v>
      </c>
      <c r="B10" t="s">
        <v>1097</v>
      </c>
      <c r="C10" s="96" t="str">
        <f ca="1">HYPERLINK("#" &amp; CELL("address", 'V1.31'!$A$2), "Direct debits - reporting as debtor's PSP")</f>
        <v>Direct debits - reporting as debtor's PSP</v>
      </c>
    </row>
    <row r="11" spans="1:3" x14ac:dyDescent="0.2">
      <c r="A11" t="s">
        <v>1457</v>
      </c>
      <c r="B11" t="s">
        <v>1457</v>
      </c>
      <c r="C11" s="53" t="str">
        <f ca="1">HYPERLINK("#" &amp; CELL("address", 'V1.40'!$A$2), "SEPA R-transactions")</f>
        <v>SEPA R-transactions</v>
      </c>
    </row>
    <row r="12" spans="1:3" x14ac:dyDescent="0.2">
      <c r="A12" t="s">
        <v>1458</v>
      </c>
      <c r="B12" t="s">
        <v>1458</v>
      </c>
      <c r="C12" s="53" t="str">
        <f ca="1">HYPERLINK("#" &amp; CELL("address", 'V1.41'!$A$2), "Interbank payment transactions")</f>
        <v>Interbank payment transactions</v>
      </c>
    </row>
    <row r="13" spans="1:3" x14ac:dyDescent="0.2">
      <c r="A13" t="s">
        <v>1459</v>
      </c>
      <c r="B13" t="s">
        <v>1459</v>
      </c>
      <c r="C13" s="53" t="str">
        <f ca="1">HYPERLINK("#" &amp; CELL("address", 'V1.42'!$A$2), "Intermediated payment transactions")</f>
        <v>Intermediated payment transactions</v>
      </c>
    </row>
    <row r="14" spans="1:3" x14ac:dyDescent="0.2">
      <c r="A14" t="s">
        <v>1534</v>
      </c>
      <c r="B14" t="s">
        <v>1098</v>
      </c>
      <c r="C14" s="96" t="str">
        <f ca="1">HYPERLINK("#" &amp; CELL("address", 'V1.50+V1.50-F'!$A$2), "Card transactions with cards issued by resident PSPs (payments)")</f>
        <v>Card transactions with cards issued by resident PSPs (payments)</v>
      </c>
    </row>
    <row r="15" spans="1:3" x14ac:dyDescent="0.2">
      <c r="A15" t="s">
        <v>1534</v>
      </c>
      <c r="B15" t="s">
        <v>1542</v>
      </c>
      <c r="C15" s="96" t="str">
        <f ca="1">HYPERLINK("#" &amp; CELL("address", 'V1.50+V1.50-F'!$A$23), "Card transactions with cards issued by resident PSPs (fraud)")</f>
        <v>Card transactions with cards issued by resident PSPs (fraud)</v>
      </c>
    </row>
    <row r="16" spans="1:3" x14ac:dyDescent="0.2">
      <c r="A16" t="s">
        <v>1099</v>
      </c>
      <c r="B16" t="s">
        <v>1099</v>
      </c>
      <c r="C16" s="96" t="str">
        <f ca="1">HYPERLINK("#" &amp; CELL("address", 'V1.51'!$A$2), "Electronic card transactions with cards issued by resident PSPs, split by Merchant Category Codes (MCC)")</f>
        <v>Electronic card transactions with cards issued by resident PSPs, split by Merchant Category Codes (MCC)</v>
      </c>
    </row>
    <row r="17" spans="1:3" x14ac:dyDescent="0.2">
      <c r="A17" t="s">
        <v>1535</v>
      </c>
      <c r="B17" t="s">
        <v>1100</v>
      </c>
      <c r="C17" s="96" t="str">
        <f ca="1">HYPERLINK("#" &amp; CELL("address", 'V1.52+V1.52-F'!$A$2), "Card transactions acquired by resident PSPs (payments)")</f>
        <v>Card transactions acquired by resident PSPs (payments)</v>
      </c>
    </row>
    <row r="18" spans="1:3" x14ac:dyDescent="0.2">
      <c r="A18" t="s">
        <v>1535</v>
      </c>
      <c r="B18" t="s">
        <v>1543</v>
      </c>
      <c r="C18" s="96" t="str">
        <f ca="1">HYPERLINK("#" &amp; CELL("address", 'V1.52+V1.52-F'!$A$23), "Card transactions acquired by resident PSPs (fraud)")</f>
        <v>Card transactions acquired by resident PSPs (fraud)</v>
      </c>
    </row>
    <row r="19" spans="1:3" x14ac:dyDescent="0.2">
      <c r="A19" t="s">
        <v>1101</v>
      </c>
      <c r="B19" t="s">
        <v>1101</v>
      </c>
      <c r="C19" s="53" t="str">
        <f ca="1">HYPERLINK("#" &amp; CELL("address", 'V1.53'!$A$2), "Fundings and withdrawals related to prepaid cards")</f>
        <v>Fundings and withdrawals related to prepaid cards</v>
      </c>
    </row>
    <row r="20" spans="1:3" x14ac:dyDescent="0.2">
      <c r="A20" t="s">
        <v>1536</v>
      </c>
      <c r="B20" t="s">
        <v>1460</v>
      </c>
      <c r="C20" s="96" t="str">
        <f ca="1">HYPERLINK("#" &amp; CELL("address", 'V1.60+V1.60-F'!$A$2), "Cheques and money remittances (payments)")</f>
        <v>Cheques and money remittances (payments)</v>
      </c>
    </row>
    <row r="21" spans="1:3" x14ac:dyDescent="0.2">
      <c r="A21" t="s">
        <v>1536</v>
      </c>
      <c r="B21" t="s">
        <v>1544</v>
      </c>
      <c r="C21" s="96" t="str">
        <f ca="1">HYPERLINK("#" &amp; CELL("address", 'V1.60+V1.60-F'!$A$23), "Cheques and money remittances (fraud)")</f>
        <v>Cheques and money remittances (fraud)</v>
      </c>
    </row>
    <row r="22" spans="1:3" x14ac:dyDescent="0.2">
      <c r="A22" t="s">
        <v>1102</v>
      </c>
      <c r="B22" t="s">
        <v>1102</v>
      </c>
      <c r="C22" s="96" t="str">
        <f ca="1">HYPERLINK("#" &amp; CELL("address", 'V1.70'!$A$2), "Over-the-counter (OTC) cash transactions")</f>
        <v>Over-the-counter (OTC) cash transactions</v>
      </c>
    </row>
    <row r="23" spans="1:3" x14ac:dyDescent="0.2">
      <c r="A23" t="s">
        <v>1461</v>
      </c>
      <c r="B23" t="s">
        <v>1461</v>
      </c>
      <c r="C23" s="96" t="str">
        <f ca="1">HYPERLINK("#" &amp; CELL("address", 'V1.80'!$A$2), "Book entries")</f>
        <v>Book entries</v>
      </c>
    </row>
    <row r="24" spans="1:3" x14ac:dyDescent="0.2">
      <c r="A24" t="s">
        <v>1462</v>
      </c>
      <c r="B24" t="s">
        <v>1462</v>
      </c>
      <c r="C24" s="53" t="str">
        <f ca="1">HYPERLINK("#" &amp; CELL("address", 'V1.90'!$A$2), "Fundings and withdrawals in e-money (except prepaid cards)")</f>
        <v>Fundings and withdrawals in e-money (except prepaid cards)</v>
      </c>
    </row>
    <row r="25" spans="1:3" x14ac:dyDescent="0.2">
      <c r="A25" t="s">
        <v>1537</v>
      </c>
      <c r="B25" t="s">
        <v>1463</v>
      </c>
      <c r="C25" s="96" t="str">
        <f ca="1">HYPERLINK("#" &amp; CELL("address", 'V1.91+V1.91-F'!$A$2), "E-money transfers (payments)")</f>
        <v>E-money transfers (payments)</v>
      </c>
    </row>
    <row r="26" spans="1:3" x14ac:dyDescent="0.2">
      <c r="A26" t="s">
        <v>1537</v>
      </c>
      <c r="B26" t="s">
        <v>1545</v>
      </c>
      <c r="C26" s="96" t="str">
        <f ca="1">HYPERLINK("#" &amp; CELL("address", 'V1.91+V1.91-F'!$A$23), "E-money transfers sent (fraud)")</f>
        <v>E-money transfers sent (fraud)</v>
      </c>
    </row>
    <row r="27" spans="1:3" x14ac:dyDescent="0.2">
      <c r="A27" t="s">
        <v>1464</v>
      </c>
      <c r="B27" t="s">
        <v>1464</v>
      </c>
      <c r="C27" s="53" t="str">
        <f ca="1">HYPERLINK("#" &amp; CELL("address", 'V1.100'!$A$2), "Payment services provided by e-money institutions and payment institutions without the provision of payment accounts")</f>
        <v>Payment services provided by e-money institutions and payment institutions without the provision of payment accounts</v>
      </c>
    </row>
    <row r="28" spans="1:3" x14ac:dyDescent="0.2">
      <c r="A28" t="s">
        <v>1538</v>
      </c>
      <c r="B28" t="s">
        <v>1465</v>
      </c>
      <c r="C28" s="96" t="str">
        <f ca="1">HYPERLINK("#" &amp; CELL("address", 'V1.110+V1.110-F'!$A$2), "Payment initiation services (payments)")</f>
        <v>Payment initiation services (payments)</v>
      </c>
    </row>
    <row r="29" spans="1:3" x14ac:dyDescent="0.2">
      <c r="A29" t="s">
        <v>1538</v>
      </c>
      <c r="B29" t="s">
        <v>1546</v>
      </c>
      <c r="C29" s="96" t="str">
        <f ca="1">HYPERLINK("#" &amp; CELL("address", 'V1.110+V1.110-F'!$A$23), "Payment initiation services (fraud)")</f>
        <v>Payment initiation services (fraud)</v>
      </c>
    </row>
    <row r="30" spans="1:3" x14ac:dyDescent="0.2">
      <c r="C30" s="53"/>
    </row>
    <row r="31" spans="1:3" ht="18" x14ac:dyDescent="0.2">
      <c r="A31" s="95" t="s">
        <v>1549</v>
      </c>
      <c r="C31" s="53"/>
    </row>
    <row r="32" spans="1:3" ht="15" x14ac:dyDescent="0.2">
      <c r="A32" s="51" t="s">
        <v>725</v>
      </c>
      <c r="B32" s="51" t="s">
        <v>368</v>
      </c>
      <c r="C32" s="51" t="s">
        <v>1103</v>
      </c>
    </row>
    <row r="33" spans="1:3" x14ac:dyDescent="0.2">
      <c r="A33" t="s">
        <v>1466</v>
      </c>
      <c r="B33" t="s">
        <v>1466</v>
      </c>
      <c r="C33" s="96" t="str">
        <f ca="1">HYPERLINK("#" &amp; CELL("address", 'V1.200'!$A$2), "Stock of issued payment cards")</f>
        <v>Stock of issued payment cards</v>
      </c>
    </row>
    <row r="34" spans="1:3" x14ac:dyDescent="0.2">
      <c r="A34" t="s">
        <v>1467</v>
      </c>
      <c r="B34" t="s">
        <v>1467</v>
      </c>
      <c r="C34" s="53" t="str">
        <f ca="1">HYPERLINK("#" &amp; CELL("address", 'V1.201'!$A$2), "Stock of distributed payment cards")</f>
        <v>Stock of distributed payment cards</v>
      </c>
    </row>
    <row r="35" spans="1:3" x14ac:dyDescent="0.2">
      <c r="A35" t="s">
        <v>1468</v>
      </c>
      <c r="B35" t="s">
        <v>1468</v>
      </c>
      <c r="C35" s="96" t="str">
        <f ca="1">HYPERLINK("#" &amp; CELL("address", 'V1.210'!$A$2), "Stock of terminals by terminal type")</f>
        <v>Stock of terminals by terminal type</v>
      </c>
    </row>
    <row r="36" spans="1:3" x14ac:dyDescent="0.2">
      <c r="A36" t="s">
        <v>1469</v>
      </c>
      <c r="B36" t="s">
        <v>1469</v>
      </c>
      <c r="C36" s="96" t="str">
        <f ca="1">HYPERLINK("#" &amp; CELL("address", 'V1.220'!$A$2), "Stock of accounts (except e-money accounts)")</f>
        <v>Stock of accounts (except e-money accounts)</v>
      </c>
    </row>
    <row r="37" spans="1:3" x14ac:dyDescent="0.2">
      <c r="A37" t="s">
        <v>1470</v>
      </c>
      <c r="B37" t="s">
        <v>1470</v>
      </c>
      <c r="C37" s="96" t="str">
        <f ca="1">HYPERLINK("#" &amp; CELL("address", 'V1.221'!$A$2), "Stock of e-money accounts")</f>
        <v>Stock of e-money accounts</v>
      </c>
    </row>
    <row r="38" spans="1:3" x14ac:dyDescent="0.2">
      <c r="A38" t="s">
        <v>1471</v>
      </c>
      <c r="B38" t="s">
        <v>1471</v>
      </c>
      <c r="C38" s="96" t="str">
        <f ca="1">HYPERLINK("#" &amp; CELL("address", 'V1.222'!$A$2), "Stock of accessed accounts - account information services (AIS)")</f>
        <v>Stock of accessed accounts - account information services (AIS)</v>
      </c>
    </row>
    <row r="39" spans="1:3" x14ac:dyDescent="0.2">
      <c r="A39" t="s">
        <v>1472</v>
      </c>
      <c r="B39" t="s">
        <v>1472</v>
      </c>
      <c r="C39" s="96" t="str">
        <f ca="1">HYPERLINK("#" &amp; CELL("address", 'V1.230'!$A$2), "Number of customers")</f>
        <v>Number of customers</v>
      </c>
    </row>
    <row r="41" spans="1:3" ht="18" x14ac:dyDescent="0.2">
      <c r="A41" s="95" t="s">
        <v>1548</v>
      </c>
    </row>
    <row r="42" spans="1:3" ht="15" x14ac:dyDescent="0.2">
      <c r="A42" s="51" t="s">
        <v>725</v>
      </c>
      <c r="B42" s="51" t="s">
        <v>368</v>
      </c>
      <c r="C42" s="51" t="s">
        <v>1103</v>
      </c>
    </row>
    <row r="43" spans="1:3" x14ac:dyDescent="0.2">
      <c r="A43" t="s">
        <v>1539</v>
      </c>
      <c r="B43" t="s">
        <v>1539</v>
      </c>
      <c r="C43" s="96" t="str">
        <f ca="1">HYPERLINK("#" &amp; CELL("address", 'V1.300-F'!$A$2), "Losses due to fraud per liability bearer")</f>
        <v>Losses due to fraud per liability bearer</v>
      </c>
    </row>
    <row r="44" spans="1:3" x14ac:dyDescent="0.2">
      <c r="C44" s="53"/>
    </row>
    <row r="45" spans="1:3" ht="18" x14ac:dyDescent="0.2">
      <c r="A45" s="95" t="s">
        <v>1551</v>
      </c>
      <c r="C45" s="53"/>
    </row>
    <row r="46" spans="1:3" ht="15" x14ac:dyDescent="0.2">
      <c r="A46" s="51" t="s">
        <v>725</v>
      </c>
      <c r="B46" s="51"/>
      <c r="C46" s="51" t="s">
        <v>0</v>
      </c>
    </row>
    <row r="47" spans="1:3" x14ac:dyDescent="0.2">
      <c r="A47" t="s">
        <v>483</v>
      </c>
      <c r="C47" s="53" t="str">
        <f ca="1">HYPERLINK("#" &amp; CELL("address", Introduction!$B$1), "Introductory remarks")</f>
        <v>Introductory remarks</v>
      </c>
    </row>
    <row r="48" spans="1:3" x14ac:dyDescent="0.2">
      <c r="A48" t="s">
        <v>1739</v>
      </c>
      <c r="C48" s="53" t="str">
        <f ca="1">HYPERLINK("#" &amp; CELL("address", Correspondence!$A$2), "Correspondence table between CDDP5 and CDDP6")</f>
        <v>Correspondence table between CDDP5 and CDDP6</v>
      </c>
    </row>
    <row r="49" spans="1:3" x14ac:dyDescent="0.2">
      <c r="A49" t="s">
        <v>1772</v>
      </c>
      <c r="C49" s="53" t="str">
        <f ca="1">HYPERLINK("#" &amp; CELL("address", Modifications!$A$1), "List of modifications made in the Manual")</f>
        <v>List of modifications made in the Manual</v>
      </c>
    </row>
    <row r="50" spans="1:3" x14ac:dyDescent="0.2">
      <c r="A50" t="s">
        <v>1552</v>
      </c>
      <c r="C50" s="53" t="str">
        <f ca="1">HYPERLINK("#" &amp; CELL("address", Codes!$A$1), "List of all codes")</f>
        <v>List of all codes</v>
      </c>
    </row>
    <row r="51" spans="1:3" x14ac:dyDescent="0.2">
      <c r="A51" t="s">
        <v>1502</v>
      </c>
      <c r="C51" s="53" t="str">
        <f ca="1">HYPERLINK("#" &amp; CELL("address", Concepts!$A$1), "Concepts and definitions")</f>
        <v>Concepts and definitions</v>
      </c>
    </row>
    <row r="52" spans="1:3" x14ac:dyDescent="0.2">
      <c r="A52" t="s">
        <v>906</v>
      </c>
      <c r="C52" s="53" t="str">
        <f ca="1">HYPERLINK("#" &amp; CELL("address", 'Customer category'!$A$1), "Correspondance table between Definitions and concepts for the statistical reporting of credit institutions and the CDDP6")</f>
        <v>Correspondance table between Definitions and concepts for the statistical reporting of credit institutions and the CDDP6</v>
      </c>
    </row>
    <row r="53" spans="1:3" x14ac:dyDescent="0.2">
      <c r="A53" t="s">
        <v>633</v>
      </c>
      <c r="C53" s="53" t="str">
        <f ca="1">HYPERLINK("#" &amp; CELL("address", MCC!$A$1), "An exhaustive list of MCC codes accepted by the BCL in the table V1.51.")</f>
        <v>An exhaustive list of MCC codes accepted by the BCL in the table V1.51.</v>
      </c>
    </row>
    <row r="54" spans="1:3" x14ac:dyDescent="0.2">
      <c r="A54" t="s">
        <v>2418</v>
      </c>
      <c r="C54" s="53" t="str">
        <f ca="1">HYPERLINK("#" &amp; CELL("address", 'Processing chain'!$A$1), "Processing chain for credit transfers")</f>
        <v>Processing chain for credit transfers</v>
      </c>
    </row>
    <row r="55" spans="1:3" x14ac:dyDescent="0.2">
      <c r="A55" s="53"/>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5" tint="0.59999389629810485"/>
  </sheetPr>
  <dimension ref="A1:F5"/>
  <sheetViews>
    <sheetView workbookViewId="0"/>
  </sheetViews>
  <sheetFormatPr defaultRowHeight="14.25" x14ac:dyDescent="0.2"/>
  <cols>
    <col min="1" max="1" width="24" bestFit="1" customWidth="1"/>
    <col min="2" max="2" width="6.75" customWidth="1"/>
    <col min="3" max="3" width="29.5" customWidth="1"/>
    <col min="4" max="4" width="13.625" customWidth="1"/>
    <col min="5" max="5" width="25" customWidth="1"/>
    <col min="6" max="6" width="6.75" customWidth="1"/>
  </cols>
  <sheetData>
    <row r="1" spans="1:6" x14ac:dyDescent="0.2">
      <c r="A1" s="36" t="str">
        <f ca="1">HYPERLINK("#" &amp; CELL("address",INDEX!$A$1), "Go back to INDEX")</f>
        <v>Go back to INDEX</v>
      </c>
      <c r="B1" s="36"/>
    </row>
    <row r="2" spans="1:6" ht="20.25" x14ac:dyDescent="0.2">
      <c r="A2" s="34" t="s">
        <v>1441</v>
      </c>
      <c r="B2" s="34"/>
      <c r="C2" s="37"/>
      <c r="D2" s="37"/>
      <c r="E2" s="37"/>
      <c r="F2" s="37"/>
    </row>
    <row r="3" spans="1:6" ht="15" x14ac:dyDescent="0.2">
      <c r="A3" s="51" t="s">
        <v>790</v>
      </c>
      <c r="B3" s="51"/>
      <c r="C3" s="51" t="s">
        <v>361</v>
      </c>
      <c r="D3" s="51"/>
      <c r="E3" s="51" t="s">
        <v>744</v>
      </c>
      <c r="F3" s="51"/>
    </row>
    <row r="4" spans="1:6" ht="15" x14ac:dyDescent="0.2">
      <c r="A4" s="148" t="str">
        <f ca="1">HYPERLINK("#" &amp; CELL("address", Concepts!$A$152), "Cash withdrawal")</f>
        <v>Cash withdrawal</v>
      </c>
      <c r="B4" s="49" t="s">
        <v>792</v>
      </c>
      <c r="C4" s="160" t="str">
        <f ca="1">HYPERLINK("#" &amp; CELL("address", Concepts!$A$146), "3-letter ISO 4217 currency code")</f>
        <v>3-letter ISO 4217 currency code</v>
      </c>
      <c r="D4" s="49" t="s">
        <v>362</v>
      </c>
      <c r="E4" s="148" t="str">
        <f ca="1">HYPERLINK("#" &amp; CELL("address", Concepts!$A$147), "Number of transactions ")</f>
        <v xml:space="preserve">Number of transactions </v>
      </c>
      <c r="F4" s="49" t="s">
        <v>389</v>
      </c>
    </row>
    <row r="5" spans="1:6" ht="15" x14ac:dyDescent="0.2">
      <c r="A5" s="148" t="str">
        <f ca="1">HYPERLINK("#" &amp; CELL("address", Concepts!$A$153), "Cash deposit")</f>
        <v>Cash deposit</v>
      </c>
      <c r="B5" s="49" t="s">
        <v>794</v>
      </c>
      <c r="E5" s="148" t="str">
        <f ca="1">HYPERLINK("#" &amp; CELL("address", Concepts!$A$148), "Value of transactions")</f>
        <v>Value of transactions</v>
      </c>
      <c r="F5" s="49" t="s">
        <v>390</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5" tint="0.59999389629810485"/>
  </sheetPr>
  <dimension ref="A1:J24"/>
  <sheetViews>
    <sheetView zoomScaleNormal="100" workbookViewId="0">
      <selection activeCell="A24" sqref="A24"/>
    </sheetView>
  </sheetViews>
  <sheetFormatPr defaultRowHeight="14.25" x14ac:dyDescent="0.2"/>
  <cols>
    <col min="1" max="1" width="15.75" customWidth="1"/>
    <col min="2" max="2" width="9.75" customWidth="1"/>
    <col min="3" max="3" width="27.375" customWidth="1"/>
    <col min="4" max="4" width="10.25" customWidth="1"/>
    <col min="5" max="5" width="35.125" bestFit="1" customWidth="1"/>
    <col min="6" max="6" width="8.25" customWidth="1"/>
    <col min="7" max="7" width="27.25" bestFit="1" customWidth="1"/>
    <col min="8" max="8" width="13.75" customWidth="1"/>
    <col min="9" max="9" width="20.625" bestFit="1" customWidth="1"/>
    <col min="10" max="10" width="8.625" customWidth="1"/>
  </cols>
  <sheetData>
    <row r="1" spans="1:10" x14ac:dyDescent="0.2">
      <c r="A1" s="36" t="str">
        <f ca="1">HYPERLINK("#" &amp; CELL("address",INDEX!$A$1), "Go back to INDEX")</f>
        <v>Go back to INDEX</v>
      </c>
    </row>
    <row r="2" spans="1:10" ht="20.25" x14ac:dyDescent="0.2">
      <c r="A2" s="34" t="s">
        <v>1440</v>
      </c>
    </row>
    <row r="3" spans="1:10" ht="15" x14ac:dyDescent="0.2">
      <c r="A3" s="51" t="s">
        <v>918</v>
      </c>
      <c r="B3" s="51"/>
      <c r="C3" s="51" t="s">
        <v>906</v>
      </c>
      <c r="D3" s="51"/>
      <c r="E3" s="51" t="s">
        <v>177</v>
      </c>
      <c r="F3" s="51"/>
      <c r="G3" s="157" t="str">
        <f ca="1">HYPERLINK("#" &amp; CELL("address", Concepts!$A$146), "Currency")</f>
        <v>Currency</v>
      </c>
      <c r="H3" s="51"/>
      <c r="I3" s="51" t="s">
        <v>744</v>
      </c>
      <c r="J3" s="51"/>
    </row>
    <row r="4" spans="1:10" ht="14.25" customHeight="1" x14ac:dyDescent="0.2">
      <c r="A4" s="148" t="str">
        <f ca="1">HYPERLINK("#" &amp; CELL("address", Concepts!$A$155), "Debit book entry")</f>
        <v>Debit book entry</v>
      </c>
      <c r="B4" s="49" t="s">
        <v>1694</v>
      </c>
      <c r="C4" s="155" t="str">
        <f ca="1">HYPERLINK("#" &amp; CELL("address", Concepts!$A$6), "MFIs:")</f>
        <v>MFIs:</v>
      </c>
      <c r="D4" s="49"/>
      <c r="E4" s="57" t="s">
        <v>874</v>
      </c>
      <c r="G4" s="160" t="str">
        <f ca="1">HYPERLINK("#" &amp; CELL("address", Concepts!$A$146), "3-letter ISO 4217 currency code")</f>
        <v>3-letter ISO 4217 currency code</v>
      </c>
      <c r="H4" s="49" t="s">
        <v>362</v>
      </c>
      <c r="I4" s="148" t="str">
        <f ca="1">HYPERLINK("#" &amp; CELL("address", Concepts!$A$147), "Number of transactions")</f>
        <v>Number of transactions</v>
      </c>
      <c r="J4" s="49" t="s">
        <v>389</v>
      </c>
    </row>
    <row r="5" spans="1:10" ht="14.25" customHeight="1" x14ac:dyDescent="0.2">
      <c r="A5" s="148" t="str">
        <f ca="1">HYPERLINK("#" &amp; CELL("address", Concepts!$A$156), "Credit book entry")</f>
        <v>Credit book entry</v>
      </c>
      <c r="B5" s="49" t="s">
        <v>1695</v>
      </c>
      <c r="C5" s="160" t="str">
        <f ca="1">HYPERLINK("#" &amp; CELL("address", Concepts!$A$7), "╠═ Credit institution")</f>
        <v>╠═ Credit institution</v>
      </c>
      <c r="D5" s="49" t="s">
        <v>356</v>
      </c>
      <c r="E5" s="160" t="str">
        <f ca="1">HYPERLINK("#" &amp; CELL("address", Concepts!$A$157), "╠═ Interest")</f>
        <v>╠═ Interest</v>
      </c>
      <c r="F5" s="49" t="s">
        <v>925</v>
      </c>
      <c r="I5" s="148" t="str">
        <f ca="1">HYPERLINK("#" &amp; CELL("address", Concepts!$A$148), "Value of transactions")</f>
        <v>Value of transactions</v>
      </c>
      <c r="J5" s="49" t="s">
        <v>390</v>
      </c>
    </row>
    <row r="6" spans="1:10" ht="14.25" customHeight="1" x14ac:dyDescent="0.2">
      <c r="C6" s="160" t="str">
        <f ca="1">HYPERLINK("#" &amp; CELL("address", Concepts!$A$8), "╠═ Monetary fund")</f>
        <v>╠═ Monetary fund</v>
      </c>
      <c r="D6" s="49" t="s">
        <v>357</v>
      </c>
      <c r="E6" s="160" t="str">
        <f ca="1">HYPERLINK("#" &amp; CELL("address", Concepts!$A$158), "╠═ Settlement of payment card balances")</f>
        <v>╠═ Settlement of payment card balances</v>
      </c>
      <c r="F6" s="49" t="s">
        <v>926</v>
      </c>
    </row>
    <row r="7" spans="1:10" ht="14.25" customHeight="1" x14ac:dyDescent="0.2">
      <c r="C7" s="160" t="str">
        <f ca="1">HYPERLINK("#" &amp; CELL("address", Concepts!$A$9), "╠═ Electronic money institution ")</f>
        <v xml:space="preserve">╠═ Electronic money institution </v>
      </c>
      <c r="D7" s="49" t="s">
        <v>475</v>
      </c>
      <c r="E7" s="160" t="str">
        <f ca="1">HYPERLINK("#" &amp; CELL("address", Concepts!$A$159), "╠═ Banking fees")</f>
        <v>╠═ Banking fees</v>
      </c>
      <c r="F7" s="49" t="s">
        <v>927</v>
      </c>
    </row>
    <row r="8" spans="1:10" ht="14.25" customHeight="1" x14ac:dyDescent="0.2">
      <c r="C8" s="160" t="str">
        <f ca="1">HYPERLINK("#" &amp; CELL("address", Concepts!$A$13), "╠═ Payment institution")</f>
        <v>╠═ Payment institution</v>
      </c>
      <c r="D8" s="49" t="s">
        <v>1015</v>
      </c>
      <c r="E8" s="160" t="str">
        <f ca="1">HYPERLINK("#" &amp; CELL("address", Concepts!$A$160), "╠═ Loans")</f>
        <v>╠═ Loans</v>
      </c>
      <c r="F8" s="49" t="s">
        <v>928</v>
      </c>
    </row>
    <row r="9" spans="1:10" ht="14.25" customHeight="1" x14ac:dyDescent="0.2">
      <c r="C9" s="160" t="str">
        <f ca="1">HYPERLINK("#" &amp; CELL("address", Concepts!$A$10), "╚═ Other MFI")</f>
        <v>╚═ Other MFI</v>
      </c>
      <c r="D9" s="49" t="s">
        <v>470</v>
      </c>
      <c r="E9" s="160" t="str">
        <f ca="1">HYPERLINK("#" &amp; CELL("address", Concepts!$A$161), "╠═ Securities and investment funds")</f>
        <v>╠═ Securities and investment funds</v>
      </c>
      <c r="F9" s="49" t="s">
        <v>1053</v>
      </c>
    </row>
    <row r="10" spans="1:10" ht="14.25" customHeight="1" x14ac:dyDescent="0.2">
      <c r="C10" s="174" t="str">
        <f ca="1">HYPERLINK("#" &amp; CELL("address", Concepts!$A$11), "Non-MFIs:")</f>
        <v>Non-MFIs:</v>
      </c>
      <c r="D10" s="49"/>
      <c r="E10" s="160" t="str">
        <f ca="1">HYPERLINK("#" &amp; CELL("address", Concepts!$A$162), "╠═ Coupons and dividends")</f>
        <v>╠═ Coupons and dividends</v>
      </c>
      <c r="F10" s="49" t="s">
        <v>1056</v>
      </c>
    </row>
    <row r="11" spans="1:10" ht="14.25" customHeight="1" x14ac:dyDescent="0.2">
      <c r="C11" s="160" t="str">
        <f ca="1">HYPERLINK("#" &amp; CELL("address", Concepts!$A$12), "╠═ Non-monetary fund")</f>
        <v>╠═ Non-monetary fund</v>
      </c>
      <c r="D11" s="49" t="s">
        <v>352</v>
      </c>
      <c r="E11" s="160" t="str">
        <f ca="1">HYPERLINK("#" &amp; CELL("address", Concepts!$A$163), "╠═ Taxes linked to financial assets")</f>
        <v>╠═ Taxes linked to financial assets</v>
      </c>
      <c r="F11" s="49" t="s">
        <v>929</v>
      </c>
    </row>
    <row r="12" spans="1:10" ht="14.25" customHeight="1" x14ac:dyDescent="0.2">
      <c r="C12" s="160" t="str">
        <f ca="1">HYPERLINK("#" &amp; CELL("address", Concepts!$A$14), "╠═ Households and NPISHs")</f>
        <v>╠═ Households and NPISHs</v>
      </c>
      <c r="D12" s="49" t="s">
        <v>738</v>
      </c>
      <c r="E12" s="160" t="str">
        <f ca="1">HYPERLINK("#" &amp; CELL("address", Concepts!$A$164), "╚═ FOREX transactions ")</f>
        <v xml:space="preserve">╚═ FOREX transactions </v>
      </c>
      <c r="F12" s="49" t="s">
        <v>1055</v>
      </c>
    </row>
    <row r="13" spans="1:10" ht="14.25" customHeight="1" x14ac:dyDescent="0.2">
      <c r="C13" s="160" t="str">
        <f ca="1">HYPERLINK("#" &amp; CELL("address", Concepts!$A$15), "╠═ Non-financial corporations")</f>
        <v>╠═ Non-financial corporations</v>
      </c>
      <c r="D13" s="49" t="s">
        <v>739</v>
      </c>
      <c r="E13" t="s">
        <v>359</v>
      </c>
      <c r="F13" s="49" t="s">
        <v>364</v>
      </c>
    </row>
    <row r="14" spans="1:10" ht="14.25" customHeight="1" x14ac:dyDescent="0.2">
      <c r="C14" s="160" t="str">
        <f ca="1">HYPERLINK("#" &amp; CELL("address", Concepts!$A$16), "╚═ Other non-MFI")</f>
        <v>╚═ Other non-MFI</v>
      </c>
      <c r="D14" s="49" t="s">
        <v>472</v>
      </c>
    </row>
    <row r="15" spans="1:10" ht="14.25" customHeight="1" x14ac:dyDescent="0.2">
      <c r="C15" s="175" t="str">
        <f ca="1">HYPERLINK("#" &amp; CELL("address", Concepts!$A$17), "Own account operation")</f>
        <v>Own account operation</v>
      </c>
      <c r="D15" s="49" t="s">
        <v>474</v>
      </c>
    </row>
    <row r="16" spans="1:10" ht="14.25" customHeight="1" x14ac:dyDescent="0.2">
      <c r="C16" s="160" t="str">
        <f ca="1">HYPERLINK("#" &amp; CELL("address", Concepts!$A$18), "Unknown")</f>
        <v>Unknown</v>
      </c>
      <c r="D16" s="49" t="s">
        <v>350</v>
      </c>
    </row>
    <row r="17" spans="1:4" ht="14.25" customHeight="1" x14ac:dyDescent="0.2">
      <c r="D17" s="49"/>
    </row>
    <row r="23" spans="1:4" ht="15" x14ac:dyDescent="0.2">
      <c r="A23" s="37" t="s">
        <v>476</v>
      </c>
    </row>
    <row r="24" spans="1:4" x14ac:dyDescent="0.2">
      <c r="A24" s="53" t="str">
        <f ca="1">HYPERLINK("#" &amp; CELL("address", Concepts!$A$154), "Click here for definition of 'Book entry'.")</f>
        <v>Click here for definition of 'Book entry'.</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B050"/>
  </sheetPr>
  <dimension ref="A1:P28"/>
  <sheetViews>
    <sheetView workbookViewId="0"/>
  </sheetViews>
  <sheetFormatPr defaultRowHeight="14.25" x14ac:dyDescent="0.2"/>
  <cols>
    <col min="1" max="1" width="24" bestFit="1" customWidth="1"/>
    <col min="2" max="2" width="10.125" customWidth="1"/>
    <col min="3" max="3" width="50" customWidth="1"/>
    <col min="5" max="5" width="28.875" bestFit="1" customWidth="1"/>
    <col min="6" max="6" width="8.125" customWidth="1"/>
    <col min="7" max="7" width="29.25" customWidth="1"/>
    <col min="9" max="9" width="30.375" customWidth="1"/>
    <col min="11" max="11" width="29.875" customWidth="1"/>
    <col min="13" max="13" width="36.125" customWidth="1"/>
    <col min="14" max="14" width="14.125" customWidth="1"/>
    <col min="15" max="15" width="29.5" customWidth="1"/>
    <col min="16" max="16" width="12.75" customWidth="1"/>
    <col min="17" max="17" width="20.625" customWidth="1"/>
  </cols>
  <sheetData>
    <row r="1" spans="1:16" ht="15" x14ac:dyDescent="0.2">
      <c r="A1" s="36" t="str">
        <f ca="1">HYPERLINK("#" &amp; CELL("address",INDEX!$A$1), "Go back to INDEX")</f>
        <v>Go back to INDEX</v>
      </c>
      <c r="B1" s="37"/>
      <c r="C1" s="37"/>
    </row>
    <row r="2" spans="1:16" ht="20.25" x14ac:dyDescent="0.2">
      <c r="A2" s="34" t="s">
        <v>1439</v>
      </c>
      <c r="B2" s="37"/>
    </row>
    <row r="3" spans="1:16" ht="14.25" customHeight="1" x14ac:dyDescent="0.2">
      <c r="A3" s="51" t="s">
        <v>2585</v>
      </c>
      <c r="B3" s="51"/>
      <c r="C3" s="51" t="s">
        <v>790</v>
      </c>
      <c r="D3" s="51"/>
      <c r="E3" s="51" t="s">
        <v>861</v>
      </c>
      <c r="F3" s="51"/>
      <c r="G3" s="51" t="s">
        <v>750</v>
      </c>
      <c r="H3" s="51"/>
      <c r="I3" s="51" t="s">
        <v>749</v>
      </c>
      <c r="J3" s="51"/>
      <c r="K3" s="51" t="s">
        <v>854</v>
      </c>
      <c r="L3" s="51"/>
      <c r="M3" s="51" t="s">
        <v>361</v>
      </c>
      <c r="N3" s="51"/>
      <c r="O3" s="51" t="s">
        <v>744</v>
      </c>
      <c r="P3" s="51"/>
    </row>
    <row r="4" spans="1:16" ht="15" x14ac:dyDescent="0.2">
      <c r="A4" s="160" t="str">
        <f ca="1">HYPERLINK("#" &amp; CELL("address", Concepts!$A$165), "Software")</f>
        <v>Software</v>
      </c>
      <c r="B4" s="49" t="s">
        <v>916</v>
      </c>
      <c r="C4" s="160" t="str">
        <f ca="1">HYPERLINK("#" &amp; CELL("address", Concepts!$A$131), "Funding")</f>
        <v>Funding</v>
      </c>
      <c r="D4" s="49" t="s">
        <v>859</v>
      </c>
      <c r="E4" s="163" t="str">
        <f ca="1">HYPERLINK("#" &amp; CELL("address", Concepts!$A$134), "Credit transfer ")</f>
        <v xml:space="preserve">Credit transfer </v>
      </c>
      <c r="F4" s="49" t="s">
        <v>770</v>
      </c>
      <c r="G4" s="37" t="s">
        <v>914</v>
      </c>
      <c r="H4" s="49"/>
      <c r="I4" s="37" t="s">
        <v>914</v>
      </c>
      <c r="J4" s="49"/>
      <c r="K4" s="160" t="str">
        <f ca="1">HYPERLINK("#" &amp; CELL("address", Concepts!$A$145), "2-letter ISO 3166 country code")</f>
        <v>2-letter ISO 3166 country code</v>
      </c>
      <c r="L4" s="49" t="s">
        <v>360</v>
      </c>
      <c r="M4" s="160" t="str">
        <f ca="1">HYPERLINK("#" &amp; CELL("address", Concepts!$A$146), "3-letter ISO 4217 currency code")</f>
        <v>3-letter ISO 4217 currency code</v>
      </c>
      <c r="N4" s="49" t="s">
        <v>362</v>
      </c>
      <c r="O4" s="160" t="str">
        <f ca="1">HYPERLINK("#" &amp; CELL("address", Concepts!$A$147), "Number of transactions ")</f>
        <v xml:space="preserve">Number of transactions </v>
      </c>
      <c r="P4" s="49" t="s">
        <v>389</v>
      </c>
    </row>
    <row r="5" spans="1:16" ht="15" x14ac:dyDescent="0.2">
      <c r="A5" s="160" t="str">
        <f ca="1">HYPERLINK("#" &amp; CELL("address", Concepts!$A$166), "E-money card")</f>
        <v>E-money card</v>
      </c>
      <c r="B5" s="49" t="s">
        <v>917</v>
      </c>
      <c r="C5" s="166" t="str">
        <f ca="1">HYPERLINK("#" &amp; CELL("address", Concepts!$A$167), "Merchant funding")</f>
        <v>Merchant funding</v>
      </c>
      <c r="D5" s="49" t="s">
        <v>1013</v>
      </c>
      <c r="E5" s="163" t="str">
        <f ca="1">HYPERLINK("#" &amp; CELL("address", Concepts!$A$135), "Direct debit ")</f>
        <v xml:space="preserve">Direct debit </v>
      </c>
      <c r="F5" s="49" t="s">
        <v>764</v>
      </c>
      <c r="G5" t="s">
        <v>773</v>
      </c>
      <c r="H5" s="49" t="s">
        <v>772</v>
      </c>
      <c r="I5" s="160" t="str">
        <f ca="1">HYPERLINK("#" &amp; CELL("address", Concepts!$A$145), "2-letter ISO 3166 country code")</f>
        <v>2-letter ISO 3166 country code</v>
      </c>
      <c r="J5" s="49" t="s">
        <v>360</v>
      </c>
      <c r="O5" s="160" t="str">
        <f ca="1">HYPERLINK("#" &amp; CELL("address", Concepts!$A$148), "Value of transactions ")</f>
        <v xml:space="preserve">Value of transactions </v>
      </c>
      <c r="P5" s="49" t="s">
        <v>390</v>
      </c>
    </row>
    <row r="6" spans="1:16" ht="42.75" x14ac:dyDescent="0.2">
      <c r="C6" s="168" t="str">
        <f ca="1">HYPERLINK("#" &amp; CELL("address", Concepts!$A$168), "Funding related to transactions with cards which give access to e-money stored on a software based e-money account ")</f>
        <v xml:space="preserve">Funding related to transactions with cards which give access to e-money stored on a software based e-money account </v>
      </c>
      <c r="D6" s="49" t="s">
        <v>1011</v>
      </c>
      <c r="E6" s="160" t="str">
        <f ca="1">HYPERLINK("#" &amp; CELL("address", Concepts!$A$136), "Payment card")</f>
        <v>Payment card</v>
      </c>
      <c r="F6" s="49" t="s">
        <v>1037</v>
      </c>
      <c r="G6" s="37" t="s">
        <v>913</v>
      </c>
      <c r="H6" s="49"/>
      <c r="I6" s="37" t="s">
        <v>913</v>
      </c>
      <c r="J6" s="49"/>
    </row>
    <row r="7" spans="1:16" ht="15" x14ac:dyDescent="0.2">
      <c r="C7" s="166" t="str">
        <f ca="1">HYPERLINK("#" &amp; CELL("address", Concepts!$A$132), "Withdrawal")</f>
        <v>Withdrawal</v>
      </c>
      <c r="D7" s="49" t="s">
        <v>860</v>
      </c>
      <c r="E7" t="s">
        <v>359</v>
      </c>
      <c r="F7" s="49" t="s">
        <v>364</v>
      </c>
      <c r="G7" s="160" t="str">
        <f ca="1">HYPERLINK("#" &amp; CELL("address", Concepts!$A$145), "2-letter ISO 3166 country code")</f>
        <v>2-letter ISO 3166 country code</v>
      </c>
      <c r="H7" s="49" t="s">
        <v>360</v>
      </c>
      <c r="I7" t="s">
        <v>773</v>
      </c>
      <c r="J7" s="49" t="s">
        <v>772</v>
      </c>
    </row>
    <row r="8" spans="1:16" ht="15" x14ac:dyDescent="0.2">
      <c r="C8" s="166" t="str">
        <f ca="1">HYPERLINK("#" &amp; CELL("address", Concepts!$A$169), "Merchant withdrawal ")</f>
        <v xml:space="preserve">Merchant withdrawal </v>
      </c>
      <c r="D8" s="49" t="s">
        <v>1014</v>
      </c>
      <c r="F8" s="49"/>
    </row>
    <row r="9" spans="1:16" ht="42.75" x14ac:dyDescent="0.2">
      <c r="C9" s="168" t="str">
        <f ca="1">HYPERLINK("#" &amp; CELL("address", Concepts!$A$170), "Withdrawal related to transactions with cards which give access to e-money stored on a software based e-money account ")</f>
        <v xml:space="preserve">Withdrawal related to transactions with cards which give access to e-money stored on a software based e-money account </v>
      </c>
      <c r="D9" s="49" t="s">
        <v>1012</v>
      </c>
    </row>
    <row r="16" spans="1:16" ht="20.25" x14ac:dyDescent="0.2">
      <c r="A16" s="34" t="s">
        <v>1749</v>
      </c>
    </row>
    <row r="17" spans="1:16" ht="15.75" x14ac:dyDescent="0.2">
      <c r="A17" s="191" t="s">
        <v>2549</v>
      </c>
      <c r="B17" s="45"/>
    </row>
    <row r="18" spans="1:16" ht="14.25" customHeight="1" x14ac:dyDescent="0.2">
      <c r="A18" s="198" t="s">
        <v>2585</v>
      </c>
      <c r="B18" s="198"/>
      <c r="C18" s="51" t="s">
        <v>790</v>
      </c>
      <c r="D18" s="51"/>
      <c r="E18" s="51" t="s">
        <v>861</v>
      </c>
      <c r="F18" s="51"/>
      <c r="G18" s="51" t="s">
        <v>750</v>
      </c>
      <c r="H18" s="51"/>
      <c r="I18" s="51" t="s">
        <v>749</v>
      </c>
      <c r="J18" s="51"/>
      <c r="K18" s="51" t="s">
        <v>854</v>
      </c>
      <c r="L18" s="51"/>
      <c r="M18" s="51" t="s">
        <v>361</v>
      </c>
      <c r="N18" s="51"/>
      <c r="O18" s="51" t="s">
        <v>744</v>
      </c>
      <c r="P18" s="51"/>
    </row>
    <row r="19" spans="1:16" x14ac:dyDescent="0.2">
      <c r="A19" s="160" t="str">
        <f ca="1">HYPERLINK("#" &amp; CELL("address", Concepts!$A$165), "Software")</f>
        <v>Software</v>
      </c>
      <c r="B19" s="45"/>
      <c r="C19" s="160" t="str">
        <f ca="1">HYPERLINK("#" &amp; CELL("address", Concepts!$A$131), "Funding")</f>
        <v>Funding</v>
      </c>
      <c r="E19" s="160" t="str">
        <f ca="1">HYPERLINK("#" &amp; CELL("address", Concepts!$A$136), "Payment card")</f>
        <v>Payment card</v>
      </c>
    </row>
    <row r="20" spans="1:16" x14ac:dyDescent="0.2">
      <c r="A20" s="45"/>
      <c r="B20" s="45"/>
    </row>
    <row r="21" spans="1:16" ht="15.75" x14ac:dyDescent="0.2">
      <c r="A21" s="191" t="s">
        <v>2550</v>
      </c>
      <c r="B21" s="45"/>
    </row>
    <row r="22" spans="1:16" x14ac:dyDescent="0.2">
      <c r="A22" s="45" t="s">
        <v>1822</v>
      </c>
      <c r="B22" s="45"/>
    </row>
    <row r="23" spans="1:16" ht="14.25" customHeight="1" x14ac:dyDescent="0.2">
      <c r="A23" s="198" t="s">
        <v>2585</v>
      </c>
      <c r="B23" s="198"/>
      <c r="C23" s="51" t="s">
        <v>790</v>
      </c>
      <c r="D23" s="51"/>
      <c r="E23" s="51" t="s">
        <v>861</v>
      </c>
      <c r="F23" s="51"/>
      <c r="G23" s="51" t="s">
        <v>750</v>
      </c>
      <c r="H23" s="51"/>
      <c r="I23" s="51" t="s">
        <v>749</v>
      </c>
      <c r="J23" s="51"/>
      <c r="K23" s="51" t="s">
        <v>854</v>
      </c>
      <c r="L23" s="51"/>
      <c r="M23" s="51" t="s">
        <v>361</v>
      </c>
      <c r="N23" s="51"/>
      <c r="O23" s="51" t="s">
        <v>744</v>
      </c>
      <c r="P23" s="51"/>
    </row>
    <row r="24" spans="1:16" x14ac:dyDescent="0.2">
      <c r="A24" s="160" t="str">
        <f ca="1">HYPERLINK("#" &amp; CELL("address", Concepts!$A$165), "Software")</f>
        <v>Software</v>
      </c>
      <c r="B24" s="45"/>
      <c r="C24" s="160" t="str">
        <f ca="1">HYPERLINK("#" &amp; CELL("address", Concepts!$A$170), "Withdrawal related to transactions with cards which give access to e-money stored on a software based e-money account ")</f>
        <v xml:space="preserve">Withdrawal related to transactions with cards which give access to e-money stored on a software based e-money account </v>
      </c>
      <c r="E24" s="160" t="str">
        <f ca="1">HYPERLINK("#" &amp; CELL("address", Concepts!$A$136), "Payment card")</f>
        <v>Payment card</v>
      </c>
    </row>
    <row r="25" spans="1:16" x14ac:dyDescent="0.2">
      <c r="A25" s="45"/>
      <c r="B25" s="45"/>
    </row>
    <row r="26" spans="1:16" ht="15.75" x14ac:dyDescent="0.2">
      <c r="A26" s="191" t="s">
        <v>2551</v>
      </c>
      <c r="B26" s="45"/>
    </row>
    <row r="27" spans="1:16" ht="14.25" customHeight="1" x14ac:dyDescent="0.2">
      <c r="A27" s="51" t="s">
        <v>2585</v>
      </c>
      <c r="B27" s="51"/>
      <c r="C27" s="51" t="s">
        <v>790</v>
      </c>
      <c r="D27" s="51"/>
      <c r="E27" s="51" t="s">
        <v>861</v>
      </c>
      <c r="F27" s="51"/>
      <c r="G27" s="51" t="s">
        <v>750</v>
      </c>
      <c r="H27" s="51"/>
      <c r="I27" s="51" t="s">
        <v>749</v>
      </c>
      <c r="J27" s="51"/>
      <c r="K27" s="51" t="s">
        <v>854</v>
      </c>
      <c r="L27" s="51"/>
      <c r="M27" s="51" t="s">
        <v>361</v>
      </c>
      <c r="N27" s="51"/>
      <c r="O27" s="51" t="s">
        <v>744</v>
      </c>
      <c r="P27" s="51"/>
    </row>
    <row r="28" spans="1:16" x14ac:dyDescent="0.2">
      <c r="A28" s="160" t="str">
        <f ca="1">HYPERLINK("#" &amp; CELL("address", Concepts!$A$165), "Software")</f>
        <v>Software</v>
      </c>
      <c r="C28" s="160" t="str">
        <f ca="1">HYPERLINK("#" &amp; CELL("address", Concepts!$A$169), "Merchant withdrawal")</f>
        <v>Merchant withdrawal</v>
      </c>
      <c r="E28" s="160" t="str">
        <f ca="1">HYPERLINK("#" &amp; CELL("address", Concepts!$A$134), "Credit transfer")</f>
        <v>Credit transfer</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5" tint="0.59999389629810485"/>
  </sheetPr>
  <dimension ref="A1:X70"/>
  <sheetViews>
    <sheetView workbookViewId="0">
      <selection activeCell="E6" sqref="E6"/>
    </sheetView>
  </sheetViews>
  <sheetFormatPr defaultRowHeight="14.25" x14ac:dyDescent="0.2"/>
  <cols>
    <col min="1" max="1" width="24" bestFit="1" customWidth="1"/>
    <col min="2" max="2" width="10.125" customWidth="1"/>
    <col min="3" max="3" width="17.625" bestFit="1" customWidth="1"/>
    <col min="5" max="5" width="29.875" customWidth="1"/>
    <col min="6" max="6" width="11.5" customWidth="1"/>
    <col min="7" max="7" width="30.625" customWidth="1"/>
    <col min="8" max="8" width="6.75" customWidth="1"/>
    <col min="9" max="9" width="50.5" bestFit="1" customWidth="1"/>
    <col min="10" max="10" width="6.75" customWidth="1"/>
    <col min="11" max="11" width="52.375" customWidth="1"/>
    <col min="12" max="12" width="6.75" customWidth="1"/>
    <col min="13" max="13" width="48.75" customWidth="1"/>
    <col min="14" max="14" width="6.75" customWidth="1"/>
    <col min="15" max="15" width="29.25" customWidth="1"/>
    <col min="16" max="16" width="6.75" bestFit="1" customWidth="1"/>
    <col min="17" max="17" width="26.125" customWidth="1"/>
    <col min="18" max="18" width="6.75" bestFit="1" customWidth="1"/>
    <col min="19" max="19" width="27.125" customWidth="1"/>
    <col min="20" max="20" width="6.75" bestFit="1" customWidth="1"/>
    <col min="21" max="21" width="33.875" customWidth="1"/>
    <col min="22" max="22" width="6.75" bestFit="1" customWidth="1"/>
    <col min="23" max="23" width="29.5" customWidth="1"/>
    <col min="24" max="24" width="12.375" bestFit="1" customWidth="1"/>
    <col min="25" max="25" width="20.625" customWidth="1"/>
  </cols>
  <sheetData>
    <row r="1" spans="1:24" ht="15" x14ac:dyDescent="0.2">
      <c r="A1" s="36" t="str">
        <f ca="1">HYPERLINK("#" &amp; CELL("address",INDEX!$A$1), "Go back to INDEX")</f>
        <v>Go back to INDEX</v>
      </c>
      <c r="B1" s="37"/>
      <c r="C1" s="37"/>
    </row>
    <row r="2" spans="1:24" ht="20.25" x14ac:dyDescent="0.2">
      <c r="A2" s="34" t="s">
        <v>1438</v>
      </c>
      <c r="B2" s="37"/>
    </row>
    <row r="3" spans="1:24" ht="30" x14ac:dyDescent="0.2">
      <c r="A3" s="51" t="s">
        <v>2585</v>
      </c>
      <c r="B3" s="51"/>
      <c r="C3" s="51" t="s">
        <v>215</v>
      </c>
      <c r="D3" s="51"/>
      <c r="E3" s="51" t="s">
        <v>462</v>
      </c>
      <c r="F3" s="51"/>
      <c r="G3" s="51" t="s">
        <v>733</v>
      </c>
      <c r="H3" s="51"/>
      <c r="I3" s="51" t="s">
        <v>422</v>
      </c>
      <c r="J3" s="51"/>
      <c r="K3" s="51" t="s">
        <v>469</v>
      </c>
      <c r="L3" s="51"/>
      <c r="M3" s="51" t="s">
        <v>863</v>
      </c>
      <c r="N3" s="51"/>
      <c r="O3" s="51" t="s">
        <v>864</v>
      </c>
      <c r="P3" s="51"/>
      <c r="Q3" s="51" t="s">
        <v>865</v>
      </c>
      <c r="R3" s="51"/>
      <c r="S3" s="51" t="s">
        <v>866</v>
      </c>
      <c r="T3" s="51"/>
      <c r="U3" s="51" t="s">
        <v>361</v>
      </c>
      <c r="V3" s="51"/>
      <c r="W3" s="51" t="s">
        <v>744</v>
      </c>
      <c r="X3" s="51"/>
    </row>
    <row r="4" spans="1:24" ht="14.1" customHeight="1" x14ac:dyDescent="0.2">
      <c r="A4" s="148" t="str">
        <f ca="1">HYPERLINK("#" &amp; CELL("address", Concepts!$A$165), "Software")</f>
        <v>Software</v>
      </c>
      <c r="B4" s="49" t="s">
        <v>916</v>
      </c>
      <c r="C4" s="160" t="str">
        <f ca="1">HYPERLINK("#" &amp; CELL("address", Concepts!$A$171), "Purchase")</f>
        <v>Purchase</v>
      </c>
      <c r="D4" s="49" t="s">
        <v>867</v>
      </c>
      <c r="E4" s="37" t="s">
        <v>484</v>
      </c>
      <c r="F4" s="49"/>
      <c r="G4" s="148" t="str">
        <f ca="1">HYPERLINK("#" &amp; CELL("address", Concepts!$A$43), "Remote")</f>
        <v>Remote</v>
      </c>
      <c r="H4" s="49" t="s">
        <v>1044</v>
      </c>
      <c r="I4" s="148" t="str">
        <f ca="1">HYPERLINK("#" &amp; CELL("address", Concepts!$A$47), "SCA used")</f>
        <v>SCA used</v>
      </c>
      <c r="J4" s="49" t="s">
        <v>1049</v>
      </c>
      <c r="K4" s="160" t="str">
        <f ca="1">HYPERLINK("#" &amp; CELL("address", Concepts!$A$59), "Not applicable ")</f>
        <v xml:space="preserve">Not applicable </v>
      </c>
      <c r="L4" s="49" t="s">
        <v>761</v>
      </c>
      <c r="M4" s="148" t="str">
        <f ca="1">HYPERLINK("#" &amp; CELL("address", Concepts!$A$145), "2-letter ISO 3166 country code")</f>
        <v>2-letter ISO 3166 country code</v>
      </c>
      <c r="N4" s="49" t="s">
        <v>360</v>
      </c>
      <c r="O4" s="148" t="str">
        <f ca="1">HYPERLINK("#" &amp; CELL("address", Concepts!$A$145), "2-letter ISO 3166 country code")</f>
        <v>2-letter ISO 3166 country code</v>
      </c>
      <c r="P4" s="49" t="s">
        <v>360</v>
      </c>
      <c r="Q4" s="160" t="str">
        <f ca="1">HYPERLINK("#" &amp; CELL("address", Concepts!$A$145), "2-letter ISO 3166 country code")</f>
        <v>2-letter ISO 3166 country code</v>
      </c>
      <c r="R4" s="49" t="s">
        <v>360</v>
      </c>
      <c r="S4" s="160" t="str">
        <f ca="1">HYPERLINK("#" &amp; CELL("address", Concepts!$A$145), "2-letter ISO 3166 country code")</f>
        <v>2-letter ISO 3166 country code</v>
      </c>
      <c r="T4" s="49" t="s">
        <v>360</v>
      </c>
      <c r="U4" s="160" t="str">
        <f ca="1">HYPERLINK("#" &amp; CELL("address", Concepts!$A$146), "3-letter ISO 4217 currency code")</f>
        <v>3-letter ISO 4217 currency code</v>
      </c>
      <c r="V4" s="49" t="s">
        <v>362</v>
      </c>
      <c r="W4" s="148" t="str">
        <f ca="1">HYPERLINK("#" &amp; CELL("address", Concepts!$A$147), "Number of transactions ")</f>
        <v xml:space="preserve">Number of transactions </v>
      </c>
      <c r="X4" s="49" t="s">
        <v>389</v>
      </c>
    </row>
    <row r="5" spans="1:24" ht="14.1" customHeight="1" x14ac:dyDescent="0.2">
      <c r="A5" s="148" t="str">
        <f ca="1">HYPERLINK("#" &amp; CELL("address", Concepts!$A$166), "E-money card")</f>
        <v>E-money card</v>
      </c>
      <c r="B5" s="49" t="s">
        <v>917</v>
      </c>
      <c r="C5" s="163" t="str">
        <f ca="1">HYPERLINK("#" &amp; CELL("address", Concepts!$A$172), "Peer-to-peer (P2P)")</f>
        <v>Peer-to-peer (P2P)</v>
      </c>
      <c r="D5" s="49" t="s">
        <v>868</v>
      </c>
      <c r="E5" s="148" t="str">
        <f ca="1">HYPERLINK("#" &amp; CELL("address", Concepts!$A$40), "╠═ P2P MPS")</f>
        <v>╠═ P2P MPS</v>
      </c>
      <c r="F5" s="49" t="s">
        <v>730</v>
      </c>
      <c r="G5" s="148" t="str">
        <f ca="1">HYPERLINK("#" &amp; CELL("address", Concepts!$A$44), "Non-remote")</f>
        <v>Non-remote</v>
      </c>
      <c r="H5" s="49" t="s">
        <v>1045</v>
      </c>
      <c r="I5" s="86" t="s">
        <v>479</v>
      </c>
      <c r="N5" s="49"/>
      <c r="O5" s="49"/>
      <c r="P5" s="49"/>
      <c r="W5" s="148" t="str">
        <f ca="1">HYPERLINK("#" &amp; CELL("address", Concepts!$A$148), "Value of transactions ")</f>
        <v xml:space="preserve">Value of transactions </v>
      </c>
      <c r="X5" s="49" t="s">
        <v>390</v>
      </c>
    </row>
    <row r="6" spans="1:24" ht="14.1" customHeight="1" x14ac:dyDescent="0.2">
      <c r="C6" s="160" t="str">
        <f ca="1">HYPERLINK("#" &amp; CELL("address", Concepts!$A$173), "Unknown")</f>
        <v>Unknown</v>
      </c>
      <c r="D6" s="49" t="s">
        <v>350</v>
      </c>
      <c r="E6" s="148" t="str">
        <f ca="1">HYPERLINK("#" &amp; CELL("address", Concepts!$A$41), "╚═ Other MPS")</f>
        <v>╚═ Other MPS</v>
      </c>
      <c r="F6" s="49" t="s">
        <v>731</v>
      </c>
      <c r="I6" s="85" t="s">
        <v>871</v>
      </c>
      <c r="J6" s="49"/>
      <c r="N6" s="49"/>
      <c r="O6" s="49"/>
      <c r="P6" s="49"/>
    </row>
    <row r="7" spans="1:24" ht="14.1" customHeight="1" x14ac:dyDescent="0.2">
      <c r="D7" s="49"/>
      <c r="E7" s="73" t="s">
        <v>359</v>
      </c>
      <c r="F7" s="49" t="s">
        <v>364</v>
      </c>
      <c r="I7" s="165" t="str">
        <f ca="1">HYPERLINK("#" &amp; CELL("address", Concepts!$A$50), "║╠═ Trusted beneficiaries")</f>
        <v>║╠═ Trusted beneficiaries</v>
      </c>
      <c r="J7" s="49" t="s">
        <v>1059</v>
      </c>
      <c r="N7" s="49"/>
      <c r="O7" s="49"/>
      <c r="P7" s="49"/>
    </row>
    <row r="8" spans="1:24" ht="14.1" customHeight="1" x14ac:dyDescent="0.2">
      <c r="I8" s="165" t="str">
        <f ca="1">HYPERLINK("#" &amp; CELL("address", Concepts!$A$51), "║╠═ Recurring transaction")</f>
        <v>║╠═ Recurring transaction</v>
      </c>
      <c r="J8" s="49" t="s">
        <v>1060</v>
      </c>
    </row>
    <row r="9" spans="1:24" ht="14.1" customHeight="1" x14ac:dyDescent="0.2">
      <c r="F9" s="49"/>
      <c r="I9" s="81" t="s">
        <v>1085</v>
      </c>
      <c r="J9" s="49" t="s">
        <v>364</v>
      </c>
    </row>
    <row r="10" spans="1:24" ht="14.1" customHeight="1" x14ac:dyDescent="0.2">
      <c r="F10" s="49"/>
      <c r="I10" s="84" t="s">
        <v>870</v>
      </c>
      <c r="J10" s="49"/>
    </row>
    <row r="11" spans="1:24" ht="14.1" customHeight="1" x14ac:dyDescent="0.2">
      <c r="F11" s="49"/>
      <c r="I11" s="148" t="str">
        <f ca="1">HYPERLINK("#" &amp; CELL("address", Concepts!$A$52), "║╠═ Contactless low value")</f>
        <v>║╠═ Contactless low value</v>
      </c>
      <c r="J11" s="49" t="s">
        <v>1061</v>
      </c>
    </row>
    <row r="12" spans="1:24" ht="14.1" customHeight="1" x14ac:dyDescent="0.2">
      <c r="I12" s="148" t="str">
        <f ca="1">HYPERLINK("#" &amp; CELL("address", Concepts!$A$53), "║╚═ Unattended terminal for transport fares or parking fees")</f>
        <v>║╚═ Unattended terminal for transport fares or parking fees</v>
      </c>
      <c r="J12" s="49" t="s">
        <v>1062</v>
      </c>
    </row>
    <row r="13" spans="1:24" ht="14.1" customHeight="1" x14ac:dyDescent="0.2">
      <c r="I13" s="84" t="s">
        <v>872</v>
      </c>
      <c r="J13" s="49"/>
    </row>
    <row r="14" spans="1:24" ht="14.1" customHeight="1" x14ac:dyDescent="0.2">
      <c r="I14" s="148" t="str">
        <f ca="1">HYPERLINK("#" &amp; CELL("address", Concepts!$A$54), "║╠═ Low value")</f>
        <v>║╠═ Low value</v>
      </c>
      <c r="J14" s="49" t="s">
        <v>1063</v>
      </c>
    </row>
    <row r="15" spans="1:24" ht="14.1" customHeight="1" x14ac:dyDescent="0.2">
      <c r="I15" s="148" t="str">
        <f ca="1">HYPERLINK("#" &amp; CELL("address", Concepts!$A$49), "║╠═ Payment to self")</f>
        <v>║╠═ Payment to self</v>
      </c>
      <c r="J15" s="49" t="s">
        <v>1058</v>
      </c>
    </row>
    <row r="16" spans="1:24" ht="14.1" customHeight="1" x14ac:dyDescent="0.2">
      <c r="I16" s="148" t="str">
        <f ca="1">HYPERLINK("#" &amp; CELL("address", Concepts!$A$55), "║╠═ Secure corporate payment processes and protocols")</f>
        <v>║╠═ Secure corporate payment processes and protocols</v>
      </c>
      <c r="J16" s="49" t="s">
        <v>1064</v>
      </c>
    </row>
    <row r="17" spans="1:24" ht="14.1" customHeight="1" x14ac:dyDescent="0.2">
      <c r="I17" s="148" t="str">
        <f ca="1">HYPERLINK("#" &amp; CELL("address", Concepts!$A$56), "║╠═ Transaction risk analysis")</f>
        <v>║╠═ Transaction risk analysis</v>
      </c>
      <c r="J17" s="49" t="s">
        <v>1065</v>
      </c>
    </row>
    <row r="18" spans="1:24" ht="14.1" customHeight="1" x14ac:dyDescent="0.2">
      <c r="I18" s="148" t="str">
        <f ca="1">HYPERLINK("#" &amp; CELL("address", Concepts!$A$122), "║╚═ Merchant initiated transaction (MIT)")</f>
        <v>║╚═ Merchant initiated transaction (MIT)</v>
      </c>
      <c r="J18" s="49" t="s">
        <v>1069</v>
      </c>
    </row>
    <row r="19" spans="1:24" ht="14.1" customHeight="1" x14ac:dyDescent="0.2">
      <c r="J19" s="49"/>
    </row>
    <row r="20" spans="1:24" ht="14.1" customHeight="1" x14ac:dyDescent="0.2">
      <c r="J20" s="49"/>
    </row>
    <row r="21" spans="1:24" ht="14.1" customHeight="1" x14ac:dyDescent="0.2">
      <c r="J21" s="49"/>
    </row>
    <row r="22" spans="1:24" ht="14.1" customHeight="1" x14ac:dyDescent="0.2">
      <c r="J22" s="49"/>
    </row>
    <row r="23" spans="1:24" ht="20.25" x14ac:dyDescent="0.2">
      <c r="A23" s="34" t="s">
        <v>1530</v>
      </c>
      <c r="B23" s="37"/>
      <c r="L23" s="49"/>
    </row>
    <row r="24" spans="1:24" ht="14.1" customHeight="1" x14ac:dyDescent="0.2">
      <c r="A24" s="51" t="str">
        <f t="shared" ref="A24:X24" si="0">IF(ISBLANK(A$3), "", A$3)</f>
        <v>Medium type</v>
      </c>
      <c r="B24" s="51" t="str">
        <f t="shared" si="0"/>
        <v/>
      </c>
      <c r="C24" s="51" t="str">
        <f t="shared" si="0"/>
        <v>Transfer type</v>
      </c>
      <c r="D24" s="51" t="str">
        <f t="shared" si="0"/>
        <v/>
      </c>
      <c r="E24" s="51" t="str">
        <f t="shared" si="0"/>
        <v>Initiation channel</v>
      </c>
      <c r="F24" s="51" t="str">
        <f t="shared" si="0"/>
        <v/>
      </c>
      <c r="G24" s="51" t="str">
        <f t="shared" si="0"/>
        <v>Initiation sub-channel</v>
      </c>
      <c r="H24" s="51" t="str">
        <f t="shared" si="0"/>
        <v/>
      </c>
      <c r="I24" s="51" t="str">
        <f t="shared" si="0"/>
        <v>SCA</v>
      </c>
      <c r="J24" s="51" t="str">
        <f t="shared" si="0"/>
        <v/>
      </c>
      <c r="K24" s="51" t="str">
        <f t="shared" si="0"/>
        <v>Fraud type</v>
      </c>
      <c r="L24" s="51" t="str">
        <f t="shared" si="0"/>
        <v/>
      </c>
      <c r="M24" s="51" t="str">
        <f t="shared" si="0"/>
        <v>Country of debtor EMS</v>
      </c>
      <c r="N24" s="51" t="str">
        <f t="shared" si="0"/>
        <v/>
      </c>
      <c r="O24" s="51" t="str">
        <f t="shared" si="0"/>
        <v>Country of creditor EMS</v>
      </c>
      <c r="P24" s="51" t="str">
        <f t="shared" si="0"/>
        <v/>
      </c>
      <c r="Q24" s="51" t="str">
        <f t="shared" si="0"/>
        <v>Country of debtor residence</v>
      </c>
      <c r="R24" s="51" t="str">
        <f t="shared" si="0"/>
        <v/>
      </c>
      <c r="S24" s="51" t="str">
        <f t="shared" si="0"/>
        <v>Country of creditor residence</v>
      </c>
      <c r="T24" s="51" t="str">
        <f t="shared" si="0"/>
        <v/>
      </c>
      <c r="U24" s="51" t="str">
        <f t="shared" si="0"/>
        <v>Currency</v>
      </c>
      <c r="V24" s="51" t="str">
        <f t="shared" si="0"/>
        <v/>
      </c>
      <c r="W24" s="51" t="str">
        <f t="shared" si="0"/>
        <v>Metric</v>
      </c>
      <c r="X24" s="51" t="str">
        <f t="shared" si="0"/>
        <v/>
      </c>
    </row>
    <row r="25" spans="1:24" ht="14.1" customHeight="1" x14ac:dyDescent="0.2">
      <c r="A25" t="s">
        <v>1078</v>
      </c>
      <c r="C25" t="s">
        <v>1078</v>
      </c>
      <c r="E25" t="s">
        <v>1078</v>
      </c>
      <c r="G25" t="s">
        <v>1078</v>
      </c>
      <c r="I25" t="s">
        <v>1078</v>
      </c>
      <c r="K25" s="57" t="s">
        <v>480</v>
      </c>
      <c r="M25" t="s">
        <v>1078</v>
      </c>
      <c r="O25" t="s">
        <v>1078</v>
      </c>
      <c r="Q25" t="s">
        <v>1078</v>
      </c>
      <c r="S25" t="s">
        <v>1078</v>
      </c>
      <c r="U25" t="s">
        <v>1078</v>
      </c>
      <c r="W25" t="s">
        <v>1078</v>
      </c>
    </row>
    <row r="26" spans="1:24" ht="14.1" customHeight="1" x14ac:dyDescent="0.2">
      <c r="K26" s="73" t="s">
        <v>1777</v>
      </c>
    </row>
    <row r="27" spans="1:24" ht="14.1" customHeight="1" x14ac:dyDescent="0.2">
      <c r="K27" s="96" t="str">
        <f ca="1">HYPERLINK("#" &amp; CELL("address", Concepts!$A$124), "║╠═ Lost or stolen e-money card")</f>
        <v>║╠═ Lost or stolen e-money card</v>
      </c>
      <c r="L27" s="49" t="s">
        <v>1074</v>
      </c>
    </row>
    <row r="28" spans="1:24" ht="14.1" customHeight="1" x14ac:dyDescent="0.2">
      <c r="K28" s="96" t="str">
        <f ca="1">HYPERLINK("#" &amp; CELL("address", Concepts!$A$126), "║╠═ E-money card not received")</f>
        <v>║╠═ E-money card not received</v>
      </c>
      <c r="L28" s="49" t="s">
        <v>1075</v>
      </c>
    </row>
    <row r="29" spans="1:24" ht="14.1" customHeight="1" x14ac:dyDescent="0.2">
      <c r="K29" s="96" t="str">
        <f ca="1">HYPERLINK("#" &amp; CELL("address", Concepts!$A$128), "║╠═ Counterfeit e-money card")</f>
        <v>║╠═ Counterfeit e-money card</v>
      </c>
      <c r="L29" s="49" t="s">
        <v>1076</v>
      </c>
    </row>
    <row r="30" spans="1:24" ht="14.1" customHeight="1" x14ac:dyDescent="0.2">
      <c r="K30" s="96" t="str">
        <f ca="1">HYPERLINK("#" &amp; CELL("address", Concepts!$A$72), "║╚═ Unauthorised e-money account transaction")</f>
        <v>║╚═ Unauthorised e-money account transaction</v>
      </c>
      <c r="L30" s="49" t="s">
        <v>1077</v>
      </c>
    </row>
    <row r="31" spans="1:24" ht="14.1" customHeight="1" x14ac:dyDescent="0.2">
      <c r="K31" s="148" t="str">
        <f ca="1">HYPERLINK("#" &amp; CELL("address", Concepts!$A$61), "╠═ Modification of a payment order by the fraudster")</f>
        <v>╠═ Modification of a payment order by the fraudster</v>
      </c>
      <c r="L31" s="49" t="str">
        <f>'V1.50+V1.50-F'!P31</f>
        <v>MODF</v>
      </c>
    </row>
    <row r="32" spans="1:24" ht="14.1" customHeight="1" x14ac:dyDescent="0.2">
      <c r="K32" s="148" t="str">
        <f ca="1">HYPERLINK("#" &amp; CELL("address", Concepts!$A$65), "╚═ Manipulation of the payer to make an e-money payment")</f>
        <v>╚═ Manipulation of the payer to make an e-money payment</v>
      </c>
      <c r="L32" s="49" t="s">
        <v>1084</v>
      </c>
    </row>
    <row r="33" spans="1:24" ht="14.1" customHeight="1" x14ac:dyDescent="0.2">
      <c r="K33" s="57" t="s">
        <v>477</v>
      </c>
      <c r="L33" s="49"/>
    </row>
    <row r="34" spans="1:24" ht="14.1" customHeight="1" x14ac:dyDescent="0.2">
      <c r="K34" s="73" t="s">
        <v>1777</v>
      </c>
    </row>
    <row r="35" spans="1:24" ht="14.1" customHeight="1" x14ac:dyDescent="0.2">
      <c r="K35" s="96" t="str">
        <f ca="1">HYPERLINK("#" &amp; CELL("address", Concepts!$A$129), "║╚═ Card details theft")</f>
        <v>║╚═ Card details theft</v>
      </c>
      <c r="L35" s="49" t="str">
        <f>'V1.50+V1.50-F'!P35</f>
        <v>CATH</v>
      </c>
    </row>
    <row r="36" spans="1:24" ht="14.1" customHeight="1" x14ac:dyDescent="0.2"/>
    <row r="37" spans="1:24" ht="14.1" customHeight="1" x14ac:dyDescent="0.2"/>
    <row r="38" spans="1:24" ht="14.1" customHeight="1" x14ac:dyDescent="0.2">
      <c r="A38" s="37" t="s">
        <v>476</v>
      </c>
    </row>
    <row r="39" spans="1:24" ht="14.1" customHeight="1" x14ac:dyDescent="0.2">
      <c r="A39" s="53" t="str">
        <f ca="1">HYPERLINK("#" &amp; CELL("address", Concepts!$A$201), "See definition of 'e-money transfer'.")</f>
        <v>See definition of 'e-money transfer'.</v>
      </c>
    </row>
    <row r="40" spans="1:24" ht="14.1" customHeight="1" x14ac:dyDescent="0.2"/>
    <row r="41" spans="1:24" ht="14.1" customHeight="1" x14ac:dyDescent="0.2"/>
    <row r="42" spans="1:24" ht="20.25" x14ac:dyDescent="0.2">
      <c r="A42" s="34" t="s">
        <v>1749</v>
      </c>
    </row>
    <row r="43" spans="1:24" ht="15.75" x14ac:dyDescent="0.2">
      <c r="A43" s="191" t="s">
        <v>2552</v>
      </c>
    </row>
    <row r="44" spans="1:24" ht="18" customHeight="1" x14ac:dyDescent="0.2">
      <c r="A44" s="198" t="s">
        <v>2585</v>
      </c>
      <c r="B44" s="51"/>
      <c r="C44" s="51" t="s">
        <v>215</v>
      </c>
      <c r="D44" s="51"/>
      <c r="E44" s="51" t="s">
        <v>462</v>
      </c>
      <c r="F44" s="51"/>
      <c r="G44" s="51" t="s">
        <v>733</v>
      </c>
      <c r="H44" s="51"/>
      <c r="I44" s="51" t="s">
        <v>422</v>
      </c>
      <c r="J44" s="51"/>
      <c r="K44" s="51" t="s">
        <v>469</v>
      </c>
      <c r="L44" s="51"/>
      <c r="M44" s="51" t="s">
        <v>863</v>
      </c>
      <c r="N44" s="51"/>
      <c r="O44" s="51" t="s">
        <v>864</v>
      </c>
      <c r="P44" s="51"/>
      <c r="Q44" s="51" t="s">
        <v>865</v>
      </c>
      <c r="R44" s="51"/>
      <c r="S44" s="51" t="s">
        <v>866</v>
      </c>
      <c r="T44" s="51"/>
      <c r="U44" s="51" t="s">
        <v>361</v>
      </c>
      <c r="V44" s="51"/>
      <c r="W44" s="51" t="s">
        <v>744</v>
      </c>
      <c r="X44" s="51"/>
    </row>
    <row r="45" spans="1:24" ht="14.1" customHeight="1" x14ac:dyDescent="0.2">
      <c r="A45" s="160" t="str">
        <f ca="1">HYPERLINK("#" &amp; CELL("address", Concepts!$A$165), "Software")</f>
        <v>Software</v>
      </c>
      <c r="C45" s="160" t="str">
        <f ca="1">HYPERLINK("#" &amp; CELL("address", Concepts!$A$171), "Purchase")</f>
        <v>Purchase</v>
      </c>
      <c r="E45" s="160" t="str">
        <f ca="1">HYPERLINK("#" &amp; CELL("address", Concepts!$A$42), "Other")</f>
        <v>Other</v>
      </c>
      <c r="G45" s="160" t="str">
        <f ca="1">HYPERLINK("#" &amp; CELL("address", Concepts!$A$43), "Remote")</f>
        <v>Remote</v>
      </c>
      <c r="I45" s="160" t="str">
        <f ca="1">HYPERLINK("#" &amp; CELL("address", Concepts!$A$47), "SCA used")</f>
        <v>SCA used</v>
      </c>
    </row>
    <row r="46" spans="1:24" ht="14.1" customHeight="1" x14ac:dyDescent="0.2">
      <c r="A46" s="45"/>
    </row>
    <row r="47" spans="1:24" ht="15.75" x14ac:dyDescent="0.2">
      <c r="A47" s="191" t="s">
        <v>2553</v>
      </c>
    </row>
    <row r="48" spans="1:24" x14ac:dyDescent="0.2">
      <c r="A48" s="45" t="s">
        <v>1824</v>
      </c>
    </row>
    <row r="49" spans="1:24" ht="18" customHeight="1" x14ac:dyDescent="0.2">
      <c r="A49" s="198" t="s">
        <v>2585</v>
      </c>
      <c r="B49" s="51"/>
      <c r="C49" s="51" t="s">
        <v>215</v>
      </c>
      <c r="D49" s="51"/>
      <c r="E49" s="51" t="s">
        <v>462</v>
      </c>
      <c r="F49" s="51"/>
      <c r="G49" s="51" t="s">
        <v>733</v>
      </c>
      <c r="H49" s="51"/>
      <c r="I49" s="51" t="s">
        <v>422</v>
      </c>
      <c r="J49" s="51"/>
      <c r="K49" s="51" t="s">
        <v>469</v>
      </c>
      <c r="L49" s="51"/>
      <c r="M49" s="51" t="s">
        <v>863</v>
      </c>
      <c r="N49" s="51"/>
      <c r="O49" s="51" t="s">
        <v>864</v>
      </c>
      <c r="P49" s="51"/>
      <c r="Q49" s="51" t="s">
        <v>865</v>
      </c>
      <c r="R49" s="51"/>
      <c r="S49" s="51" t="s">
        <v>866</v>
      </c>
      <c r="T49" s="51"/>
      <c r="U49" s="51" t="s">
        <v>361</v>
      </c>
      <c r="V49" s="51"/>
      <c r="W49" s="51" t="s">
        <v>744</v>
      </c>
      <c r="X49" s="51"/>
    </row>
    <row r="50" spans="1:24" ht="14.1" customHeight="1" x14ac:dyDescent="0.2">
      <c r="A50" s="160" t="str">
        <f ca="1">HYPERLINK("#" &amp; CELL("address", Concepts!$A$165), "Software")</f>
        <v>Software</v>
      </c>
      <c r="C50" s="160" t="str">
        <f ca="1">HYPERLINK("#" &amp; CELL("address", Concepts!$A$172), "Peer-to-peer (P2P)")</f>
        <v>Peer-to-peer (P2P)</v>
      </c>
      <c r="E50" s="160" t="str">
        <f ca="1">HYPERLINK("#" &amp; CELL("address", Concepts!$A$40), "P2P MPS")</f>
        <v>P2P MPS</v>
      </c>
      <c r="G50" s="160" t="str">
        <f ca="1">HYPERLINK("#" &amp; CELL("address", Concepts!$A$43), "Remote")</f>
        <v>Remote</v>
      </c>
      <c r="I50" s="160" t="str">
        <f ca="1">HYPERLINK("#" &amp; CELL("address", Concepts!$A$54), "Low value")</f>
        <v>Low value</v>
      </c>
    </row>
    <row r="51" spans="1:24" ht="14.1" customHeight="1" x14ac:dyDescent="0.2">
      <c r="A51" s="45"/>
    </row>
    <row r="52" spans="1:24" ht="15.75" x14ac:dyDescent="0.2">
      <c r="A52" s="191" t="s">
        <v>2554</v>
      </c>
    </row>
    <row r="53" spans="1:24" ht="18" customHeight="1" x14ac:dyDescent="0.2">
      <c r="A53" s="198" t="s">
        <v>2585</v>
      </c>
      <c r="B53" s="51"/>
      <c r="C53" s="51" t="s">
        <v>215</v>
      </c>
      <c r="D53" s="51"/>
      <c r="E53" s="51" t="s">
        <v>462</v>
      </c>
      <c r="F53" s="51"/>
      <c r="G53" s="51" t="s">
        <v>733</v>
      </c>
      <c r="H53" s="51"/>
      <c r="I53" s="51" t="s">
        <v>422</v>
      </c>
      <c r="J53" s="51"/>
      <c r="K53" s="51" t="s">
        <v>469</v>
      </c>
      <c r="L53" s="51"/>
      <c r="M53" s="51" t="s">
        <v>863</v>
      </c>
      <c r="N53" s="51"/>
      <c r="O53" s="51" t="s">
        <v>864</v>
      </c>
      <c r="P53" s="51"/>
      <c r="Q53" s="51" t="s">
        <v>865</v>
      </c>
      <c r="R53" s="51"/>
      <c r="S53" s="51" t="s">
        <v>866</v>
      </c>
      <c r="T53" s="51"/>
      <c r="U53" s="51" t="s">
        <v>361</v>
      </c>
      <c r="V53" s="51"/>
      <c r="W53" s="51" t="s">
        <v>744</v>
      </c>
      <c r="X53" s="51"/>
    </row>
    <row r="54" spans="1:24" ht="14.1" customHeight="1" x14ac:dyDescent="0.2">
      <c r="A54" s="160" t="str">
        <f ca="1">HYPERLINK("#" &amp; CELL("address", Concepts!$A$165), "Software")</f>
        <v>Software</v>
      </c>
      <c r="C54" s="160" t="str">
        <f ca="1">HYPERLINK("#" &amp; CELL("address", Concepts!$A$172), "Peer-to-peer (P2P)")</f>
        <v>Peer-to-peer (P2P)</v>
      </c>
      <c r="E54" s="160" t="str">
        <f ca="1">HYPERLINK("#" &amp; CELL("address", Concepts!$A$40), "P2P MPS")</f>
        <v>P2P MPS</v>
      </c>
      <c r="G54" s="160" t="str">
        <f ca="1">HYPERLINK("#" &amp; CELL("address", Concepts!$A$43), "Remote")</f>
        <v>Remote</v>
      </c>
      <c r="I54" s="160" t="str">
        <f ca="1">HYPERLINK("#" &amp; CELL("address", Concepts!$A$50), "Trusted beneficiaries")</f>
        <v>Trusted beneficiaries</v>
      </c>
    </row>
    <row r="55" spans="1:24" x14ac:dyDescent="0.2">
      <c r="A55" s="45"/>
    </row>
    <row r="56" spans="1:24" ht="15.75" x14ac:dyDescent="0.2">
      <c r="A56" s="191" t="s">
        <v>2555</v>
      </c>
    </row>
    <row r="57" spans="1:24" x14ac:dyDescent="0.2">
      <c r="A57" s="45" t="s">
        <v>1825</v>
      </c>
    </row>
    <row r="58" spans="1:24" ht="18" customHeight="1" x14ac:dyDescent="0.2">
      <c r="A58" s="198" t="s">
        <v>2585</v>
      </c>
      <c r="B58" s="51"/>
      <c r="C58" s="51" t="s">
        <v>215</v>
      </c>
      <c r="D58" s="51"/>
      <c r="E58" s="51" t="s">
        <v>462</v>
      </c>
      <c r="F58" s="51"/>
      <c r="G58" s="51" t="s">
        <v>733</v>
      </c>
      <c r="H58" s="51"/>
      <c r="I58" s="51" t="s">
        <v>422</v>
      </c>
      <c r="J58" s="51"/>
      <c r="K58" s="51" t="s">
        <v>469</v>
      </c>
      <c r="L58" s="51"/>
      <c r="M58" s="51" t="s">
        <v>863</v>
      </c>
      <c r="N58" s="51"/>
      <c r="O58" s="51" t="s">
        <v>864</v>
      </c>
      <c r="P58" s="51"/>
      <c r="Q58" s="51" t="s">
        <v>865</v>
      </c>
      <c r="R58" s="51"/>
      <c r="S58" s="51" t="s">
        <v>866</v>
      </c>
      <c r="T58" s="51"/>
      <c r="U58" s="51" t="s">
        <v>361</v>
      </c>
      <c r="V58" s="51"/>
      <c r="W58" s="51" t="s">
        <v>744</v>
      </c>
      <c r="X58" s="51"/>
    </row>
    <row r="59" spans="1:24" ht="14.1" customHeight="1" x14ac:dyDescent="0.2">
      <c r="A59" s="160" t="str">
        <f ca="1">HYPERLINK("#" &amp; CELL("address", Concepts!$A$165), "Software")</f>
        <v>Software</v>
      </c>
      <c r="C59" s="160" t="str">
        <f ca="1">HYPERLINK("#" &amp; CELL("address", Concepts!$A$171), "Purchase")</f>
        <v>Purchase</v>
      </c>
      <c r="E59" s="160" t="str">
        <f ca="1">HYPERLINK("#" &amp; CELL("address", Concepts!$A$42), "Other")</f>
        <v>Other</v>
      </c>
      <c r="G59" s="160" t="str">
        <f ca="1">HYPERLINK("#" &amp; CELL("address", Concepts!$A$43), "Remote")</f>
        <v>Remote</v>
      </c>
      <c r="I59" s="160" t="str">
        <f ca="1">HYPERLINK("#" &amp; CELL("address", Concepts!$A$122), "Merchant initiated transaction (MIT)")</f>
        <v>Merchant initiated transaction (MIT)</v>
      </c>
    </row>
    <row r="60" spans="1:24" x14ac:dyDescent="0.2">
      <c r="A60" s="45"/>
    </row>
    <row r="61" spans="1:24" ht="15.75" x14ac:dyDescent="0.2">
      <c r="A61" s="191" t="s">
        <v>2556</v>
      </c>
    </row>
    <row r="62" spans="1:24" ht="18" customHeight="1" x14ac:dyDescent="0.2">
      <c r="A62" s="198" t="s">
        <v>2585</v>
      </c>
      <c r="B62" s="51"/>
      <c r="C62" s="51" t="s">
        <v>215</v>
      </c>
      <c r="D62" s="51"/>
      <c r="E62" s="51" t="s">
        <v>462</v>
      </c>
      <c r="F62" s="51"/>
      <c r="G62" s="51" t="s">
        <v>733</v>
      </c>
      <c r="H62" s="51"/>
      <c r="I62" s="51" t="s">
        <v>422</v>
      </c>
      <c r="J62" s="51"/>
      <c r="K62" s="51" t="s">
        <v>469</v>
      </c>
      <c r="L62" s="51"/>
      <c r="M62" s="51" t="s">
        <v>863</v>
      </c>
      <c r="N62" s="51"/>
      <c r="O62" s="51" t="s">
        <v>864</v>
      </c>
      <c r="P62" s="51"/>
      <c r="Q62" s="51" t="s">
        <v>865</v>
      </c>
      <c r="R62" s="51"/>
      <c r="S62" s="51" t="s">
        <v>866</v>
      </c>
      <c r="T62" s="51"/>
      <c r="U62" s="51" t="s">
        <v>361</v>
      </c>
      <c r="V62" s="51"/>
      <c r="W62" s="51" t="s">
        <v>744</v>
      </c>
      <c r="X62" s="51"/>
    </row>
    <row r="63" spans="1:24" ht="14.1" customHeight="1" x14ac:dyDescent="0.2">
      <c r="A63" s="160" t="str">
        <f ca="1">HYPERLINK("#" &amp; CELL("address", Concepts!$A$166), "E-money card")</f>
        <v>E-money card</v>
      </c>
      <c r="C63" s="160" t="str">
        <f ca="1">HYPERLINK("#" &amp; CELL("address", Concepts!$A$171), "Purchase")</f>
        <v>Purchase</v>
      </c>
      <c r="E63" s="160" t="str">
        <f ca="1">HYPERLINK("#" &amp; CELL("address", Concepts!$A$42), "Other")</f>
        <v>Other</v>
      </c>
      <c r="G63" s="160" t="str">
        <f ca="1">HYPERLINK("#" &amp; CELL("address", Concepts!$A$44), "Non-remote")</f>
        <v>Non-remote</v>
      </c>
      <c r="I63" s="160" t="str">
        <f ca="1">HYPERLINK("#" &amp; CELL("address", Concepts!$A$53), "Unattended terminal for transport fares or parking fees")</f>
        <v>Unattended terminal for transport fares or parking fees</v>
      </c>
    </row>
    <row r="64" spans="1:24" x14ac:dyDescent="0.2">
      <c r="A64" s="45"/>
    </row>
    <row r="65" spans="1:24" ht="15.75" x14ac:dyDescent="0.2">
      <c r="A65" s="191" t="s">
        <v>2557</v>
      </c>
    </row>
    <row r="66" spans="1:24" ht="18" customHeight="1" x14ac:dyDescent="0.2">
      <c r="A66" s="198" t="s">
        <v>2585</v>
      </c>
      <c r="B66" s="51"/>
      <c r="C66" s="51" t="s">
        <v>215</v>
      </c>
      <c r="D66" s="51"/>
      <c r="E66" s="51" t="s">
        <v>462</v>
      </c>
      <c r="F66" s="51"/>
      <c r="G66" s="51" t="s">
        <v>733</v>
      </c>
      <c r="H66" s="51"/>
      <c r="I66" s="51" t="s">
        <v>422</v>
      </c>
      <c r="J66" s="51"/>
      <c r="K66" s="51" t="s">
        <v>469</v>
      </c>
      <c r="L66" s="51"/>
      <c r="M66" s="51" t="s">
        <v>863</v>
      </c>
      <c r="N66" s="51"/>
      <c r="O66" s="51" t="s">
        <v>864</v>
      </c>
      <c r="P66" s="51"/>
      <c r="Q66" s="51" t="s">
        <v>865</v>
      </c>
      <c r="R66" s="51"/>
      <c r="S66" s="51" t="s">
        <v>866</v>
      </c>
      <c r="T66" s="51"/>
      <c r="U66" s="51" t="s">
        <v>361</v>
      </c>
      <c r="V66" s="51"/>
      <c r="W66" s="51" t="s">
        <v>744</v>
      </c>
      <c r="X66" s="51"/>
    </row>
    <row r="67" spans="1:24" ht="14.1" customHeight="1" x14ac:dyDescent="0.2">
      <c r="A67" s="160" t="str">
        <f ca="1">HYPERLINK("#" &amp; CELL("address", Concepts!$A$165), "Software")</f>
        <v>Software</v>
      </c>
      <c r="C67" s="160" t="str">
        <f ca="1">HYPERLINK("#" &amp; CELL("address", Concepts!$A$171), "Purchase")</f>
        <v>Purchase</v>
      </c>
      <c r="E67" s="160" t="str">
        <f ca="1">HYPERLINK("#" &amp; CELL("address", Concepts!$A$42), "Other")</f>
        <v>Other</v>
      </c>
      <c r="G67" s="160" t="str">
        <f ca="1">HYPERLINK("#" &amp; CELL("address", Concepts!$A$43), "Remote")</f>
        <v>Remote</v>
      </c>
      <c r="I67" s="160" t="str">
        <f ca="1">HYPERLINK("#" &amp; CELL("address", Concepts!$A$56), "Transaction risk analysis")</f>
        <v>Transaction risk analysis</v>
      </c>
      <c r="K67" s="160" t="str">
        <f ca="1">HYPERLINK("#" &amp; CELL("address", Concepts!$A$72), "Unauthorised e-money account transaction")</f>
        <v>Unauthorised e-money account transaction</v>
      </c>
    </row>
    <row r="68" spans="1:24" x14ac:dyDescent="0.2">
      <c r="A68" s="45"/>
    </row>
    <row r="69" spans="1:24" x14ac:dyDescent="0.2">
      <c r="A69" s="45"/>
    </row>
    <row r="70" spans="1:24" x14ac:dyDescent="0.2">
      <c r="A70" s="45"/>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00B050"/>
  </sheetPr>
  <dimension ref="A1:G47"/>
  <sheetViews>
    <sheetView workbookViewId="0"/>
  </sheetViews>
  <sheetFormatPr defaultRowHeight="14.25" x14ac:dyDescent="0.2"/>
  <cols>
    <col min="1" max="1" width="23.125" customWidth="1"/>
    <col min="2" max="2" width="6.5" customWidth="1"/>
    <col min="3" max="3" width="28.625" customWidth="1"/>
    <col min="4" max="4" width="6.875" customWidth="1"/>
    <col min="5" max="5" width="25.875" customWidth="1"/>
    <col min="6" max="6" width="7.875" customWidth="1"/>
    <col min="7" max="7" width="20.625" bestFit="1" customWidth="1"/>
  </cols>
  <sheetData>
    <row r="1" spans="1:6" x14ac:dyDescent="0.2">
      <c r="A1" s="36" t="str">
        <f ca="1">HYPERLINK("#" &amp; CELL("address",INDEX!$A$1), "Go back to INDEX")</f>
        <v>Go back to INDEX</v>
      </c>
    </row>
    <row r="2" spans="1:6" ht="24" x14ac:dyDescent="0.2">
      <c r="A2" s="34" t="s">
        <v>1473</v>
      </c>
    </row>
    <row r="3" spans="1:6" ht="16.5" customHeight="1" x14ac:dyDescent="0.2">
      <c r="A3" s="51" t="s">
        <v>902</v>
      </c>
      <c r="B3" s="51"/>
      <c r="C3" s="51" t="s">
        <v>861</v>
      </c>
      <c r="D3" s="51"/>
      <c r="E3" s="51" t="s">
        <v>744</v>
      </c>
      <c r="F3" s="51"/>
    </row>
    <row r="4" spans="1:6" ht="16.5" customHeight="1" x14ac:dyDescent="0.2">
      <c r="A4" s="160" t="str">
        <f ca="1">HYPERLINK("#" &amp; CELL("address", Concepts!$A$76), "Debtor's PSP")</f>
        <v>Debtor's PSP</v>
      </c>
      <c r="B4" s="49" t="s">
        <v>781</v>
      </c>
      <c r="C4" s="160" t="str">
        <f ca="1">HYPERLINK("#" &amp; CELL("address", Concepts!$A$134), "Credit transfer ")</f>
        <v xml:space="preserve">Credit transfer </v>
      </c>
      <c r="D4" s="49" t="s">
        <v>770</v>
      </c>
      <c r="E4" s="160" t="str">
        <f ca="1">HYPERLINK("#" &amp; CELL("address", Concepts!$A$147), "Number of transactions ")</f>
        <v xml:space="preserve">Number of transactions </v>
      </c>
      <c r="F4" s="49" t="s">
        <v>389</v>
      </c>
    </row>
    <row r="5" spans="1:6" ht="15" x14ac:dyDescent="0.2">
      <c r="A5" s="160" t="str">
        <f ca="1">HYPERLINK("#" &amp; CELL("address", Concepts!$A$77), "Creditor's PSP")</f>
        <v>Creditor's PSP</v>
      </c>
      <c r="B5" s="49" t="s">
        <v>782</v>
      </c>
      <c r="C5" s="160" t="str">
        <f ca="1">HYPERLINK("#" &amp; CELL("address", Concepts!$A$135), "Direct debit ")</f>
        <v xml:space="preserve">Direct debit </v>
      </c>
      <c r="D5" s="49" t="s">
        <v>764</v>
      </c>
      <c r="E5" s="160" t="str">
        <f ca="1">HYPERLINK("#" &amp; CELL("address", Concepts!$A$148), "Value of transactions")</f>
        <v>Value of transactions</v>
      </c>
      <c r="F5" s="49" t="s">
        <v>390</v>
      </c>
    </row>
    <row r="6" spans="1:6" ht="15" x14ac:dyDescent="0.2">
      <c r="C6" s="160" t="str">
        <f ca="1">HYPERLINK("#" &amp; CELL("address", Concepts!$A$136), "Payment card")</f>
        <v>Payment card</v>
      </c>
      <c r="D6" s="49" t="s">
        <v>1037</v>
      </c>
    </row>
    <row r="7" spans="1:6" ht="15" x14ac:dyDescent="0.2">
      <c r="C7" s="160" t="str">
        <f ca="1">HYPERLINK("#" &amp; CELL("address", Concepts!$A$174), "E-money")</f>
        <v>E-money</v>
      </c>
      <c r="D7" s="49" t="s">
        <v>762</v>
      </c>
    </row>
    <row r="8" spans="1:6" ht="15" x14ac:dyDescent="0.2">
      <c r="C8" s="160" t="str">
        <f ca="1">HYPERLINK("#" &amp; CELL("address", Concepts!$A$139), "Money remittance")</f>
        <v>Money remittance</v>
      </c>
      <c r="D8" s="49" t="s">
        <v>1814</v>
      </c>
    </row>
    <row r="9" spans="1:6" ht="15" x14ac:dyDescent="0.2">
      <c r="C9" t="s">
        <v>359</v>
      </c>
      <c r="D9" s="49" t="s">
        <v>364</v>
      </c>
    </row>
    <row r="10" spans="1:6" ht="15" x14ac:dyDescent="0.2">
      <c r="C10" s="160" t="str">
        <f ca="1">HYPERLINK("#" &amp; CELL("address", Concepts!$A$175), "Unknown")</f>
        <v>Unknown</v>
      </c>
      <c r="D10" s="49" t="s">
        <v>350</v>
      </c>
    </row>
    <row r="17" spans="1:6" ht="15" x14ac:dyDescent="0.2">
      <c r="A17" s="37" t="s">
        <v>476</v>
      </c>
    </row>
    <row r="18" spans="1:6" x14ac:dyDescent="0.2">
      <c r="A18" s="45" t="s">
        <v>937</v>
      </c>
    </row>
    <row r="22" spans="1:6" x14ac:dyDescent="0.2">
      <c r="A22" s="45"/>
    </row>
    <row r="23" spans="1:6" ht="20.25" x14ac:dyDescent="0.2">
      <c r="A23" s="34" t="s">
        <v>936</v>
      </c>
    </row>
    <row r="24" spans="1:6" ht="15.75" x14ac:dyDescent="0.2">
      <c r="A24" s="191" t="s">
        <v>2567</v>
      </c>
    </row>
    <row r="25" spans="1:6" ht="14.25" customHeight="1" x14ac:dyDescent="0.2">
      <c r="A25" s="198" t="s">
        <v>902</v>
      </c>
      <c r="B25" s="51"/>
      <c r="C25" s="51" t="s">
        <v>861</v>
      </c>
      <c r="D25" s="51"/>
      <c r="E25" s="51" t="s">
        <v>744</v>
      </c>
      <c r="F25" s="51"/>
    </row>
    <row r="26" spans="1:6" ht="14.25" customHeight="1" x14ac:dyDescent="0.2">
      <c r="A26" s="160" t="str">
        <f ca="1">HYPERLINK("#" &amp; CELL("address", Concepts!$A$77), "Creditor's PSP")</f>
        <v>Creditor's PSP</v>
      </c>
      <c r="C26" s="160" t="str">
        <f ca="1">HYPERLINK("#" &amp; CELL("address", Concepts!$A$134), "Credit transfer ")</f>
        <v xml:space="preserve">Credit transfer </v>
      </c>
    </row>
    <row r="27" spans="1:6" ht="14.25" customHeight="1" x14ac:dyDescent="0.2">
      <c r="A27" s="45"/>
      <c r="C27" s="160" t="str">
        <f ca="1">HYPERLINK("#" &amp; CELL("address", Concepts!$A$135), "Direct debit ")</f>
        <v xml:space="preserve">Direct debit </v>
      </c>
    </row>
    <row r="28" spans="1:6" ht="14.25" customHeight="1" x14ac:dyDescent="0.2">
      <c r="A28" s="45"/>
      <c r="C28" s="160" t="str">
        <f ca="1">HYPERLINK("#" &amp; CELL("address", Concepts!$A$174), "E-money")</f>
        <v>E-money</v>
      </c>
    </row>
    <row r="29" spans="1:6" ht="14.25" customHeight="1" x14ac:dyDescent="0.2">
      <c r="A29" s="45"/>
    </row>
    <row r="30" spans="1:6" ht="14.25" customHeight="1" x14ac:dyDescent="0.2">
      <c r="A30" s="191" t="s">
        <v>2569</v>
      </c>
    </row>
    <row r="31" spans="1:6" ht="14.25" customHeight="1" x14ac:dyDescent="0.2">
      <c r="A31" s="45" t="s">
        <v>1828</v>
      </c>
    </row>
    <row r="32" spans="1:6" ht="14.25" customHeight="1" x14ac:dyDescent="0.2">
      <c r="A32" s="198" t="s">
        <v>902</v>
      </c>
      <c r="B32" s="51"/>
      <c r="C32" s="51" t="s">
        <v>861</v>
      </c>
      <c r="D32" s="51"/>
      <c r="E32" s="51" t="s">
        <v>744</v>
      </c>
      <c r="F32" s="51"/>
    </row>
    <row r="33" spans="1:7" ht="14.25" customHeight="1" x14ac:dyDescent="0.2">
      <c r="A33" s="160" t="str">
        <f ca="1">HYPERLINK("#" &amp; CELL("address", Concepts!$A$76), "Debtor's PSP")</f>
        <v>Debtor's PSP</v>
      </c>
      <c r="C33" s="160" t="str">
        <f ca="1">HYPERLINK("#" &amp; CELL("address", Concepts!$A$136), "Payment card")</f>
        <v>Payment card</v>
      </c>
    </row>
    <row r="34" spans="1:7" ht="14.25" customHeight="1" x14ac:dyDescent="0.2">
      <c r="A34" s="191"/>
    </row>
    <row r="35" spans="1:7" ht="14.25" customHeight="1" x14ac:dyDescent="0.2">
      <c r="A35" s="191" t="s">
        <v>2568</v>
      </c>
    </row>
    <row r="36" spans="1:7" ht="14.25" customHeight="1" x14ac:dyDescent="0.2">
      <c r="A36" s="45" t="s">
        <v>1827</v>
      </c>
    </row>
    <row r="37" spans="1:7" ht="14.25" customHeight="1" x14ac:dyDescent="0.2">
      <c r="A37" s="198" t="s">
        <v>902</v>
      </c>
      <c r="B37" s="51"/>
      <c r="C37" s="51" t="s">
        <v>861</v>
      </c>
      <c r="D37" s="51"/>
      <c r="E37" s="51" t="s">
        <v>744</v>
      </c>
      <c r="F37" s="51"/>
    </row>
    <row r="38" spans="1:7" ht="14.25" customHeight="1" x14ac:dyDescent="0.2">
      <c r="A38" s="160" t="str">
        <f ca="1">HYPERLINK("#" &amp; CELL("address", Concepts!$A$77), "Creditor's PSP")</f>
        <v>Creditor's PSP</v>
      </c>
      <c r="C38" s="160" t="str">
        <f ca="1">HYPERLINK("#" &amp; CELL("address", Concepts!$A$136), "Payment card")</f>
        <v>Payment card</v>
      </c>
    </row>
    <row r="39" spans="1:7" ht="14.25" customHeight="1" x14ac:dyDescent="0.2">
      <c r="A39" s="45"/>
    </row>
    <row r="40" spans="1:7" ht="14.25" customHeight="1" x14ac:dyDescent="0.2">
      <c r="A40" s="191" t="s">
        <v>2570</v>
      </c>
      <c r="B40" s="45"/>
      <c r="C40" s="45"/>
      <c r="D40" s="45"/>
      <c r="E40" s="45"/>
      <c r="F40" s="45"/>
      <c r="G40" s="45"/>
    </row>
    <row r="41" spans="1:7" ht="14.25" customHeight="1" x14ac:dyDescent="0.2">
      <c r="A41" s="198" t="s">
        <v>902</v>
      </c>
      <c r="B41" s="51"/>
      <c r="C41" s="51" t="s">
        <v>861</v>
      </c>
      <c r="D41" s="51"/>
      <c r="E41" s="51" t="s">
        <v>744</v>
      </c>
      <c r="F41" s="51"/>
    </row>
    <row r="42" spans="1:7" x14ac:dyDescent="0.2">
      <c r="A42" s="160" t="str">
        <f ca="1">HYPERLINK("#" &amp; CELL("address", Concepts!$A$77), "Creditor's PSP")</f>
        <v>Creditor's PSP</v>
      </c>
      <c r="C42" s="160" t="str">
        <f ca="1">HYPERLINK("#" &amp; CELL("address", Concepts!$A$174), "E-money")</f>
        <v>E-money</v>
      </c>
    </row>
    <row r="43" spans="1:7" x14ac:dyDescent="0.2">
      <c r="A43" s="45"/>
    </row>
    <row r="44" spans="1:7" x14ac:dyDescent="0.2">
      <c r="A44" s="45"/>
    </row>
    <row r="45" spans="1:7" x14ac:dyDescent="0.2">
      <c r="A45" s="45"/>
    </row>
    <row r="46" spans="1:7" x14ac:dyDescent="0.2">
      <c r="A46" s="45"/>
    </row>
    <row r="47" spans="1:7" x14ac:dyDescent="0.2">
      <c r="A47" s="45"/>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5" tint="0.59999389629810485"/>
  </sheetPr>
  <dimension ref="A1:L45"/>
  <sheetViews>
    <sheetView workbookViewId="0"/>
  </sheetViews>
  <sheetFormatPr defaultRowHeight="14.25" x14ac:dyDescent="0.2"/>
  <cols>
    <col min="1" max="1" width="23.125" customWidth="1"/>
    <col min="2" max="2" width="9.375" customWidth="1"/>
    <col min="3" max="3" width="21.625" customWidth="1"/>
    <col min="4" max="4" width="5.625" bestFit="1" customWidth="1"/>
    <col min="5" max="5" width="15.625" customWidth="1"/>
    <col min="6" max="6" width="5.625" bestFit="1" customWidth="1"/>
    <col min="7" max="7" width="26.125" bestFit="1" customWidth="1"/>
    <col min="8" max="8" width="7.875" customWidth="1"/>
    <col min="9" max="9" width="28.25" customWidth="1"/>
    <col min="10" max="10" width="12.5" customWidth="1"/>
    <col min="11" max="11" width="26.875" customWidth="1"/>
    <col min="12" max="12" width="12.375" bestFit="1" customWidth="1"/>
    <col min="13" max="13" width="25.125" customWidth="1"/>
  </cols>
  <sheetData>
    <row r="1" spans="1:12" x14ac:dyDescent="0.2">
      <c r="A1" s="36" t="str">
        <f ca="1">HYPERLINK("#" &amp; CELL("address",INDEX!$A$1), "Go back to INDEX")</f>
        <v>Go back to INDEX</v>
      </c>
      <c r="B1" s="36"/>
    </row>
    <row r="2" spans="1:12" ht="20.25" x14ac:dyDescent="0.2">
      <c r="A2" s="34" t="s">
        <v>1454</v>
      </c>
      <c r="B2" s="34"/>
    </row>
    <row r="3" spans="1:12" ht="15" x14ac:dyDescent="0.2">
      <c r="A3" s="51" t="s">
        <v>752</v>
      </c>
      <c r="B3" s="51"/>
      <c r="C3" s="51" t="s">
        <v>848</v>
      </c>
      <c r="D3" s="51"/>
      <c r="E3" s="51" t="s">
        <v>422</v>
      </c>
      <c r="F3" s="51"/>
      <c r="G3" s="51" t="s">
        <v>877</v>
      </c>
      <c r="H3" s="51"/>
      <c r="I3" s="51" t="s">
        <v>361</v>
      </c>
      <c r="J3" s="51"/>
      <c r="K3" s="51" t="s">
        <v>744</v>
      </c>
      <c r="L3" s="51"/>
    </row>
    <row r="4" spans="1:12" ht="16.5" customHeight="1" x14ac:dyDescent="0.2">
      <c r="A4" s="85" t="s">
        <v>771</v>
      </c>
      <c r="C4" s="148" t="str">
        <f ca="1">HYPERLINK("#" &amp; CELL("address", Concepts!$A$43), "Remote")</f>
        <v>Remote</v>
      </c>
      <c r="D4" s="49" t="s">
        <v>1044</v>
      </c>
      <c r="E4" s="148" t="str">
        <f ca="1">HYPERLINK("#" &amp; CELL("address", Concepts!$A$47), "SCA used")</f>
        <v>SCA used</v>
      </c>
      <c r="F4" s="49" t="s">
        <v>1049</v>
      </c>
      <c r="G4" s="148" t="str">
        <f ca="1">HYPERLINK("#" &amp; CELL("address", Concepts!$A$145), "2-letter ISO 3166 country code")</f>
        <v>2-letter ISO 3166 country code</v>
      </c>
      <c r="H4" s="49" t="s">
        <v>360</v>
      </c>
      <c r="I4" s="160" t="str">
        <f ca="1">HYPERLINK("#" &amp; CELL("address", Concepts!$A$146), "3-letter ISO 4217 currency code")</f>
        <v>3-letter ISO 4217 currency code</v>
      </c>
      <c r="J4" s="49" t="s">
        <v>362</v>
      </c>
      <c r="K4" s="148" t="str">
        <f ca="1">HYPERLINK("#" &amp; CELL("address", Concepts!$A$147), "Number of transactions ")</f>
        <v xml:space="preserve">Number of transactions </v>
      </c>
      <c r="L4" s="49" t="s">
        <v>389</v>
      </c>
    </row>
    <row r="5" spans="1:12" ht="15" x14ac:dyDescent="0.2">
      <c r="A5" s="160" t="str">
        <f ca="1">HYPERLINK("#" &amp; CELL("address", Concepts!$A$180), "╠═ Instant credit transfer")</f>
        <v>╠═ Instant credit transfer</v>
      </c>
      <c r="B5" s="49" t="s">
        <v>1046</v>
      </c>
      <c r="C5" s="148" t="str">
        <f ca="1">HYPERLINK("#" &amp; CELL("address", Concepts!$A$44), "Non-remote")</f>
        <v>Non-remote</v>
      </c>
      <c r="D5" s="49" t="s">
        <v>1045</v>
      </c>
      <c r="E5" s="148" t="str">
        <f ca="1">HYPERLINK("#" &amp; CELL("address", Concepts!$A$178), "Non-SCA used")</f>
        <v>Non-SCA used</v>
      </c>
      <c r="F5" s="49" t="s">
        <v>1048</v>
      </c>
      <c r="H5" s="49"/>
      <c r="K5" s="148" t="str">
        <f ca="1">HYPERLINK("#" &amp; CELL("address", Concepts!$A$148), "Value of transactions")</f>
        <v>Value of transactions</v>
      </c>
      <c r="L5" s="49" t="s">
        <v>390</v>
      </c>
    </row>
    <row r="6" spans="1:12" ht="15" x14ac:dyDescent="0.2">
      <c r="A6" s="148" t="str">
        <f ca="1">HYPERLINK("#" &amp; CELL("address", Concepts!$A$181), "╚═ Other credit transfer")</f>
        <v>╚═ Other credit transfer</v>
      </c>
      <c r="B6" s="49" t="s">
        <v>1047</v>
      </c>
    </row>
    <row r="7" spans="1:12" ht="15" x14ac:dyDescent="0.2">
      <c r="A7" s="73" t="s">
        <v>359</v>
      </c>
      <c r="B7" s="49" t="s">
        <v>364</v>
      </c>
      <c r="E7" s="57"/>
    </row>
    <row r="8" spans="1:12" ht="15" x14ac:dyDescent="0.2">
      <c r="B8" s="49"/>
      <c r="F8" s="49"/>
    </row>
    <row r="9" spans="1:12" ht="15" x14ac:dyDescent="0.2">
      <c r="B9" s="49"/>
    </row>
    <row r="23" spans="1:12" ht="20.25" x14ac:dyDescent="0.2">
      <c r="A23" s="34" t="s">
        <v>1531</v>
      </c>
      <c r="B23" s="34"/>
    </row>
    <row r="24" spans="1:12" ht="19.5" customHeight="1" x14ac:dyDescent="0.2">
      <c r="A24" s="51" t="str">
        <f t="shared" ref="A24:L24" si="0">IF(ISBLANK(A$3), "", A$3)</f>
        <v xml:space="preserve">Payment instrument type </v>
      </c>
      <c r="B24" s="51" t="str">
        <f t="shared" si="0"/>
        <v/>
      </c>
      <c r="C24" s="51" t="str">
        <f t="shared" si="0"/>
        <v xml:space="preserve">Initiation sub-channel </v>
      </c>
      <c r="D24" s="51" t="str">
        <f t="shared" si="0"/>
        <v/>
      </c>
      <c r="E24" s="51" t="str">
        <f t="shared" si="0"/>
        <v>SCA</v>
      </c>
      <c r="F24" s="51" t="str">
        <f t="shared" si="0"/>
        <v/>
      </c>
      <c r="G24" s="51" t="str">
        <f t="shared" si="0"/>
        <v>Country of ASPSP</v>
      </c>
      <c r="H24" s="51" t="str">
        <f t="shared" si="0"/>
        <v/>
      </c>
      <c r="I24" s="51" t="str">
        <f t="shared" si="0"/>
        <v>Currency</v>
      </c>
      <c r="J24" s="51" t="str">
        <f t="shared" si="0"/>
        <v/>
      </c>
      <c r="K24" s="51" t="str">
        <f t="shared" si="0"/>
        <v>Metric</v>
      </c>
      <c r="L24" s="51" t="str">
        <f t="shared" si="0"/>
        <v/>
      </c>
    </row>
    <row r="25" spans="1:12" x14ac:dyDescent="0.2">
      <c r="A25" t="s">
        <v>1078</v>
      </c>
      <c r="C25" t="s">
        <v>1078</v>
      </c>
      <c r="E25" t="s">
        <v>1078</v>
      </c>
      <c r="G25" t="s">
        <v>1078</v>
      </c>
      <c r="I25" t="s">
        <v>1078</v>
      </c>
      <c r="K25" t="s">
        <v>1078</v>
      </c>
    </row>
    <row r="31" spans="1:12" ht="15" x14ac:dyDescent="0.2">
      <c r="A31" s="37" t="s">
        <v>476</v>
      </c>
      <c r="B31" s="37"/>
    </row>
    <row r="32" spans="1:12" x14ac:dyDescent="0.2">
      <c r="A32" s="53" t="str">
        <f ca="1">HYPERLINK("#" &amp; CELL("address", Concepts!$A$176), "See definition of 'Payment initiation service'.")</f>
        <v>See definition of 'Payment initiation service'.</v>
      </c>
      <c r="B32" s="45"/>
    </row>
    <row r="33" spans="1:12" x14ac:dyDescent="0.2">
      <c r="A33" s="53" t="str">
        <f ca="1">HYPERLINK("#" &amp; CELL("address", Concepts!$A$177), "See definition of 'Payment initiation service provider (PISP)'.")</f>
        <v>See definition of 'Payment initiation service provider (PISP)'.</v>
      </c>
    </row>
    <row r="38" spans="1:12" ht="20.25" x14ac:dyDescent="0.2">
      <c r="A38" s="34" t="s">
        <v>1749</v>
      </c>
    </row>
    <row r="39" spans="1:12" ht="15.75" x14ac:dyDescent="0.2">
      <c r="A39" s="191" t="s">
        <v>2374</v>
      </c>
    </row>
    <row r="40" spans="1:12" ht="15" x14ac:dyDescent="0.2">
      <c r="A40" s="198" t="s">
        <v>752</v>
      </c>
      <c r="B40" s="51"/>
      <c r="C40" s="51" t="s">
        <v>848</v>
      </c>
      <c r="D40" s="51"/>
      <c r="E40" s="51" t="s">
        <v>422</v>
      </c>
      <c r="F40" s="51"/>
      <c r="G40" s="51" t="s">
        <v>877</v>
      </c>
      <c r="H40" s="51"/>
      <c r="I40" s="51" t="s">
        <v>361</v>
      </c>
      <c r="J40" s="51"/>
      <c r="K40" s="51" t="s">
        <v>744</v>
      </c>
      <c r="L40" s="51"/>
    </row>
    <row r="41" spans="1:12" x14ac:dyDescent="0.2">
      <c r="A41" s="160" t="str">
        <f ca="1">HYPERLINK("#" &amp; CELL("address", Concepts!$A$181), "Other credit transfer ")</f>
        <v xml:space="preserve">Other credit transfer </v>
      </c>
      <c r="C41" s="160" t="str">
        <f ca="1">HYPERLINK("#" &amp; CELL("address", Concepts!$A$43), "Remote")</f>
        <v>Remote</v>
      </c>
      <c r="E41" s="160" t="str">
        <f ca="1">HYPERLINK("#" &amp; CELL("address", Concepts!$A$47), "SCA used")</f>
        <v>SCA used</v>
      </c>
      <c r="G41" t="s">
        <v>1831</v>
      </c>
    </row>
    <row r="42" spans="1:12" x14ac:dyDescent="0.2">
      <c r="A42" s="45"/>
    </row>
    <row r="43" spans="1:12" ht="15.75" x14ac:dyDescent="0.2">
      <c r="A43" s="191" t="s">
        <v>2375</v>
      </c>
    </row>
    <row r="44" spans="1:12" ht="15" x14ac:dyDescent="0.2">
      <c r="A44" s="51" t="s">
        <v>752</v>
      </c>
      <c r="B44" s="51"/>
      <c r="C44" s="51" t="s">
        <v>848</v>
      </c>
      <c r="D44" s="51"/>
      <c r="E44" s="51" t="s">
        <v>422</v>
      </c>
      <c r="F44" s="51"/>
      <c r="G44" s="51" t="s">
        <v>877</v>
      </c>
      <c r="H44" s="51"/>
      <c r="I44" s="51" t="s">
        <v>361</v>
      </c>
      <c r="J44" s="51"/>
      <c r="K44" s="51" t="s">
        <v>744</v>
      </c>
      <c r="L44" s="51"/>
    </row>
    <row r="45" spans="1:12" x14ac:dyDescent="0.2">
      <c r="A45" s="160" t="str">
        <f ca="1">HYPERLINK("#" &amp; CELL("address", Concepts!$A$180), "Instant credit transfer")</f>
        <v>Instant credit transfer</v>
      </c>
      <c r="C45" s="160" t="str">
        <f ca="1">HYPERLINK("#" &amp; CELL("address", Concepts!$A$44), "Non-remote")</f>
        <v>Non-remote</v>
      </c>
      <c r="E45" s="160" t="str">
        <f ca="1">HYPERLINK("#" &amp; CELL("address", Concepts!$A$178), "Non-SCA used")</f>
        <v>Non-SCA used</v>
      </c>
      <c r="G45" t="s">
        <v>1830</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tint="0.59999389629810485"/>
  </sheetPr>
  <dimension ref="A1:J23"/>
  <sheetViews>
    <sheetView workbookViewId="0"/>
  </sheetViews>
  <sheetFormatPr defaultRowHeight="14.25" x14ac:dyDescent="0.2"/>
  <cols>
    <col min="1" max="1" width="73.25" customWidth="1"/>
    <col min="2" max="2" width="9.375" customWidth="1"/>
    <col min="3" max="3" width="28" customWidth="1"/>
    <col min="5" max="5" width="30" bestFit="1" customWidth="1"/>
    <col min="7" max="7" width="27.625" bestFit="1" customWidth="1"/>
    <col min="9" max="9" width="66.625" customWidth="1"/>
    <col min="11" max="11" width="40" customWidth="1"/>
  </cols>
  <sheetData>
    <row r="1" spans="1:10" x14ac:dyDescent="0.2">
      <c r="A1" s="36" t="str">
        <f ca="1">HYPERLINK("#" &amp; CELL("address",INDEX!$A$1), "Go back to INDEX")</f>
        <v>Go back to INDEX</v>
      </c>
    </row>
    <row r="2" spans="1:10" ht="20.25" x14ac:dyDescent="0.2">
      <c r="A2" s="34" t="s">
        <v>1453</v>
      </c>
      <c r="B2" s="37"/>
      <c r="C2" s="37"/>
    </row>
    <row r="3" spans="1:10" ht="15" x14ac:dyDescent="0.2">
      <c r="A3" s="51" t="s">
        <v>1437</v>
      </c>
      <c r="B3" s="51"/>
      <c r="C3" s="51" t="s">
        <v>805</v>
      </c>
      <c r="D3" s="51"/>
      <c r="E3" s="51" t="s">
        <v>814</v>
      </c>
      <c r="F3" s="51"/>
      <c r="G3" s="51" t="s">
        <v>1556</v>
      </c>
      <c r="H3" s="51"/>
      <c r="I3" s="51" t="s">
        <v>744</v>
      </c>
      <c r="J3" s="51"/>
    </row>
    <row r="4" spans="1:10" ht="14.1" customHeight="1" x14ac:dyDescent="0.2">
      <c r="A4" s="148" t="str">
        <f ca="1">HYPERLINK("#" &amp; CELL("address", Concepts!$A$95), "Debit card ")</f>
        <v xml:space="preserve">Debit card </v>
      </c>
      <c r="B4" s="49" t="s">
        <v>800</v>
      </c>
      <c r="C4" s="212" t="s">
        <v>116</v>
      </c>
      <c r="D4" s="49" t="s">
        <v>1036</v>
      </c>
      <c r="E4" s="148" t="str">
        <f ca="1">HYPERLINK("#" &amp; CELL("address", Concepts!$A$185), "Card with a contactless function")</f>
        <v>Card with a contactless function</v>
      </c>
      <c r="F4" s="49" t="s">
        <v>2490</v>
      </c>
      <c r="G4" s="169" t="str">
        <f ca="1">HYPERLINK("#" &amp; CELL("address", Concepts!$A$145), "2-letter ISO 3166 country code")</f>
        <v>2-letter ISO 3166 country code</v>
      </c>
      <c r="H4" s="49" t="s">
        <v>360</v>
      </c>
      <c r="I4" s="165" t="str">
        <f ca="1">HYPERLINK("#" &amp; CELL("address", Concepts!$A$187), "Number of cards for own customers")</f>
        <v>Number of cards for own customers</v>
      </c>
      <c r="J4" s="49" t="s">
        <v>809</v>
      </c>
    </row>
    <row r="5" spans="1:10" ht="14.1" customHeight="1" x14ac:dyDescent="0.2">
      <c r="A5" s="148" t="str">
        <f ca="1">HYPERLINK("#" &amp; CELL("address", Concepts!$A$96), "Delayed debit card")</f>
        <v>Delayed debit card</v>
      </c>
      <c r="B5" s="49" t="s">
        <v>801</v>
      </c>
      <c r="C5" s="82" t="s">
        <v>907</v>
      </c>
      <c r="D5" s="49" t="s">
        <v>111</v>
      </c>
      <c r="E5" s="148" t="str">
        <f ca="1">HYPERLINK("#" &amp; CELL("address", Concepts!$A$186), "Card without a contactless function")</f>
        <v>Card without a contactless function</v>
      </c>
      <c r="F5" s="49" t="s">
        <v>2491</v>
      </c>
      <c r="I5" s="161" t="str">
        <f ca="1">HYPERLINK("#" &amp; CELL("address", Concepts!$A$188), "Number of cards issued for 3rd parties")</f>
        <v>Number of cards issued for 3rd parties</v>
      </c>
      <c r="J5" s="49" t="s">
        <v>810</v>
      </c>
    </row>
    <row r="6" spans="1:10" ht="14.1" customHeight="1" x14ac:dyDescent="0.2">
      <c r="A6" s="148" t="str">
        <f ca="1">HYPERLINK("#" &amp; CELL("address", Concepts!$A$97), "Credit card")</f>
        <v>Credit card</v>
      </c>
      <c r="B6" s="49" t="s">
        <v>802</v>
      </c>
      <c r="C6" s="212" t="s">
        <v>113</v>
      </c>
      <c r="D6" s="49" t="s">
        <v>113</v>
      </c>
      <c r="E6" s="49"/>
      <c r="F6" s="49"/>
      <c r="I6" s="94" t="s">
        <v>1092</v>
      </c>
    </row>
    <row r="7" spans="1:10" ht="14.1" customHeight="1" x14ac:dyDescent="0.2">
      <c r="A7" s="160" t="str">
        <f ca="1">HYPERLINK("#" &amp; CELL("address", Concepts!$A$98), "Mixed card (debit+credit)")</f>
        <v>Mixed card (debit+credit)</v>
      </c>
      <c r="B7" s="49" t="s">
        <v>990</v>
      </c>
      <c r="C7" t="s">
        <v>806</v>
      </c>
      <c r="D7" s="49" t="s">
        <v>124</v>
      </c>
      <c r="E7" s="49"/>
      <c r="F7" s="49"/>
      <c r="I7" s="160" t="str">
        <f ca="1">HYPERLINK("#" &amp; CELL("address", Concepts!$A$189), "╚═ Float (balance)")</f>
        <v>╚═ Float (balance)</v>
      </c>
      <c r="J7" s="49" t="s">
        <v>812</v>
      </c>
    </row>
    <row r="8" spans="1:10" ht="14.1" customHeight="1" x14ac:dyDescent="0.2">
      <c r="A8" s="148" t="str">
        <f ca="1">HYPERLINK("#" &amp; CELL("address", Concepts!$A$99), "Prepaid card")</f>
        <v>Prepaid card</v>
      </c>
      <c r="B8" s="49" t="s">
        <v>804</v>
      </c>
      <c r="C8" t="s">
        <v>808</v>
      </c>
      <c r="D8" s="49" t="s">
        <v>123</v>
      </c>
      <c r="E8" s="49"/>
      <c r="F8" s="49"/>
    </row>
    <row r="9" spans="1:10" ht="14.1" customHeight="1" x14ac:dyDescent="0.2">
      <c r="A9" s="37" t="s">
        <v>817</v>
      </c>
      <c r="C9" t="s">
        <v>122</v>
      </c>
      <c r="D9" s="49" t="s">
        <v>121</v>
      </c>
      <c r="E9" s="49"/>
      <c r="F9" s="49"/>
    </row>
    <row r="10" spans="1:10" ht="14.1" customHeight="1" x14ac:dyDescent="0.2">
      <c r="A10" s="148" t="str">
        <f ca="1">HYPERLINK("#" &amp; CELL("address", Concepts!$A$182), "╠═ Cards which give access to e-money stored on a software based e-money account ")</f>
        <v xml:space="preserve">╠═ Cards which give access to e-money stored on a software based e-money account </v>
      </c>
      <c r="B10" s="49" t="s">
        <v>818</v>
      </c>
      <c r="C10" t="s">
        <v>807</v>
      </c>
      <c r="D10" s="49" t="s">
        <v>119</v>
      </c>
      <c r="E10" s="49"/>
      <c r="F10" s="49"/>
    </row>
    <row r="11" spans="1:10" ht="14.1" customHeight="1" x14ac:dyDescent="0.2">
      <c r="A11" s="96" t="str">
        <f ca="1">HYPERLINK("#" &amp; CELL("address", Concepts!$A$183), "╠╗Cards on which e-money can be stored directly, of which:")</f>
        <v>╠╗Cards on which e-money can be stored directly, of which:</v>
      </c>
      <c r="B11" s="49" t="s">
        <v>819</v>
      </c>
      <c r="C11" s="160" t="str">
        <f ca="1">HYPERLINK("#" &amp; CELL("address", Concepts!$A$104), "Proprietary")</f>
        <v>Proprietary</v>
      </c>
      <c r="D11" s="49" t="s">
        <v>125</v>
      </c>
      <c r="E11" s="49"/>
      <c r="F11" s="49"/>
    </row>
    <row r="12" spans="1:10" ht="14.1" customHeight="1" x14ac:dyDescent="0.2">
      <c r="A12" s="148" t="str">
        <f ca="1">HYPERLINK("#" &amp; CELL("address", Concepts!$A$184), "║╚═ Cards on which e-money can be stored directly and have been loaded at least once")</f>
        <v>║╚═ Cards on which e-money can be stored directly and have been loaded at least once</v>
      </c>
      <c r="B12" s="49" t="s">
        <v>909</v>
      </c>
      <c r="C12" s="73" t="s">
        <v>359</v>
      </c>
      <c r="D12" s="49" t="s">
        <v>364</v>
      </c>
      <c r="E12" s="49"/>
      <c r="F12" s="49"/>
    </row>
    <row r="13" spans="1:10" ht="14.1" customHeight="1" x14ac:dyDescent="0.2">
      <c r="A13" s="148" t="str">
        <f ca="1">HYPERLINK("#" &amp; CELL("address", Concepts!$A$101), "Other")</f>
        <v>Other</v>
      </c>
      <c r="B13" s="49" t="s">
        <v>364</v>
      </c>
      <c r="E13" s="49"/>
      <c r="F13" s="49"/>
    </row>
    <row r="14" spans="1:10" ht="15" x14ac:dyDescent="0.2">
      <c r="E14" s="49"/>
      <c r="F14" s="49"/>
    </row>
    <row r="15" spans="1:10" ht="15" x14ac:dyDescent="0.2">
      <c r="B15" s="49"/>
      <c r="D15" s="49"/>
      <c r="E15" s="49"/>
      <c r="F15" s="49"/>
    </row>
    <row r="16" spans="1:10" ht="15" x14ac:dyDescent="0.2">
      <c r="B16" s="49"/>
      <c r="D16" s="49"/>
      <c r="E16" s="49"/>
      <c r="F16" s="49"/>
    </row>
    <row r="17" spans="1:6" ht="15" x14ac:dyDescent="0.2">
      <c r="B17" s="49"/>
      <c r="D17" s="49"/>
      <c r="E17" s="49"/>
      <c r="F17" s="49"/>
    </row>
    <row r="18" spans="1:6" ht="15" x14ac:dyDescent="0.2">
      <c r="A18" s="37" t="s">
        <v>476</v>
      </c>
      <c r="B18" s="49"/>
      <c r="D18" s="49"/>
      <c r="E18" s="49"/>
      <c r="F18" s="49"/>
    </row>
    <row r="19" spans="1:6" ht="15" x14ac:dyDescent="0.2">
      <c r="A19" t="s">
        <v>2488</v>
      </c>
      <c r="D19" s="49"/>
    </row>
    <row r="20" spans="1:6" x14ac:dyDescent="0.2">
      <c r="A20" t="s">
        <v>908</v>
      </c>
    </row>
    <row r="21" spans="1:6" x14ac:dyDescent="0.2">
      <c r="A21" t="s">
        <v>2583</v>
      </c>
    </row>
    <row r="22" spans="1:6" x14ac:dyDescent="0.2">
      <c r="A22" s="53" t="str">
        <f ca="1">HYPERLINK("#" &amp; CELL("address", Concepts!$A$225), "Please see the definition of 'Payment card'.")</f>
        <v>Please see the definition of 'Payment card'.</v>
      </c>
    </row>
    <row r="23" spans="1:6" x14ac:dyDescent="0.2">
      <c r="A23" t="s">
        <v>2493</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sheetPr>
  <dimension ref="A1:J24"/>
  <sheetViews>
    <sheetView workbookViewId="0">
      <selection activeCell="A22" sqref="A22"/>
    </sheetView>
  </sheetViews>
  <sheetFormatPr defaultRowHeight="14.25" x14ac:dyDescent="0.2"/>
  <cols>
    <col min="1" max="1" width="74.75" customWidth="1"/>
    <col min="2" max="2" width="9.375" customWidth="1"/>
    <col min="3" max="3" width="28" customWidth="1"/>
    <col min="5" max="5" width="30.75" customWidth="1"/>
    <col min="7" max="7" width="28.25" customWidth="1"/>
    <col min="9" max="9" width="67.125" bestFit="1" customWidth="1"/>
    <col min="11" max="11" width="40" customWidth="1"/>
  </cols>
  <sheetData>
    <row r="1" spans="1:10" x14ac:dyDescent="0.2">
      <c r="A1" s="36" t="str">
        <f ca="1">HYPERLINK("#" &amp; CELL("address",INDEX!$A$1), "Go back to INDEX")</f>
        <v>Go back to INDEX</v>
      </c>
    </row>
    <row r="2" spans="1:10" ht="20.25" x14ac:dyDescent="0.2">
      <c r="A2" s="34" t="s">
        <v>1452</v>
      </c>
      <c r="B2" s="37"/>
      <c r="C2" s="37"/>
    </row>
    <row r="3" spans="1:10" ht="15" x14ac:dyDescent="0.2">
      <c r="A3" s="51" t="s">
        <v>1437</v>
      </c>
      <c r="B3" s="51"/>
      <c r="C3" s="51" t="s">
        <v>805</v>
      </c>
      <c r="D3" s="51"/>
      <c r="E3" s="51" t="s">
        <v>814</v>
      </c>
      <c r="F3" s="51"/>
      <c r="G3" s="51" t="s">
        <v>1555</v>
      </c>
      <c r="H3" s="51"/>
      <c r="I3" s="51" t="s">
        <v>744</v>
      </c>
      <c r="J3" s="51"/>
    </row>
    <row r="4" spans="1:10" ht="14.25" customHeight="1" x14ac:dyDescent="0.2">
      <c r="A4" s="160" t="str">
        <f ca="1">HYPERLINK("#" &amp; CELL("address", Concepts!$A$95), "Debit card ")</f>
        <v xml:space="preserve">Debit card </v>
      </c>
      <c r="B4" s="49" t="s">
        <v>800</v>
      </c>
      <c r="C4" t="s">
        <v>116</v>
      </c>
      <c r="D4" s="49" t="s">
        <v>1036</v>
      </c>
      <c r="E4" s="160" t="str">
        <f ca="1">HYPERLINK("#" &amp; CELL("address", Concepts!$A$185), "Card with a contactless function")</f>
        <v>Card with a contactless function</v>
      </c>
      <c r="F4" s="49" t="s">
        <v>2490</v>
      </c>
      <c r="G4" s="169" t="str">
        <f ca="1">HYPERLINK("#" &amp; CELL("address", Concepts!$A$145), "2-letter ISO 3166 country code")</f>
        <v>2-letter ISO 3166 country code</v>
      </c>
      <c r="H4" s="49" t="s">
        <v>360</v>
      </c>
      <c r="I4" s="161" t="str">
        <f ca="1">HYPERLINK("#" &amp; CELL("address", Concepts!$A$187), "Number of cards for own customers")</f>
        <v>Number of cards for own customers</v>
      </c>
      <c r="J4" s="49" t="s">
        <v>809</v>
      </c>
    </row>
    <row r="5" spans="1:10" ht="14.25" customHeight="1" x14ac:dyDescent="0.2">
      <c r="A5" s="160" t="str">
        <f ca="1">HYPERLINK("#" &amp; CELL("address", Concepts!$A$96), "Delayed debit card")</f>
        <v>Delayed debit card</v>
      </c>
      <c r="B5" s="49" t="s">
        <v>801</v>
      </c>
      <c r="C5" t="s">
        <v>907</v>
      </c>
      <c r="D5" s="49" t="s">
        <v>111</v>
      </c>
      <c r="E5" s="160" t="str">
        <f ca="1">HYPERLINK("#" &amp; CELL("address", Concepts!$A$186), "Card without a contactless function")</f>
        <v>Card without a contactless function</v>
      </c>
      <c r="F5" s="49" t="s">
        <v>2491</v>
      </c>
      <c r="I5" s="94" t="s">
        <v>1092</v>
      </c>
    </row>
    <row r="6" spans="1:10" ht="14.25" customHeight="1" x14ac:dyDescent="0.2">
      <c r="A6" s="160" t="str">
        <f ca="1">HYPERLINK("#" &amp; CELL("address", Concepts!$A$97), "Credit card")</f>
        <v>Credit card</v>
      </c>
      <c r="B6" s="49" t="s">
        <v>802</v>
      </c>
      <c r="C6" t="s">
        <v>113</v>
      </c>
      <c r="D6" s="49" t="s">
        <v>113</v>
      </c>
      <c r="E6" s="49"/>
      <c r="F6" s="49"/>
      <c r="I6" s="160" t="str">
        <f ca="1">HYPERLINK("#" &amp; CELL("address", Concepts!$A$189), "╚═ Float (balance)")</f>
        <v>╚═ Float (balance)</v>
      </c>
      <c r="J6" s="49" t="s">
        <v>812</v>
      </c>
    </row>
    <row r="7" spans="1:10" ht="14.25" customHeight="1" x14ac:dyDescent="0.2">
      <c r="A7" s="160" t="str">
        <f ca="1">HYPERLINK("#" &amp; CELL("address", Concepts!$A$98), "Mixed card (debit+credit)")</f>
        <v>Mixed card (debit+credit)</v>
      </c>
      <c r="B7" s="49" t="s">
        <v>990</v>
      </c>
      <c r="C7" t="s">
        <v>806</v>
      </c>
      <c r="D7" s="49" t="s">
        <v>124</v>
      </c>
      <c r="E7" s="49"/>
      <c r="F7" s="49"/>
      <c r="I7" s="37"/>
    </row>
    <row r="8" spans="1:10" ht="14.25" customHeight="1" x14ac:dyDescent="0.2">
      <c r="A8" s="160" t="str">
        <f ca="1">HYPERLINK("#" &amp; CELL("address", Concepts!$A$99), "Prepaid card")</f>
        <v>Prepaid card</v>
      </c>
      <c r="B8" s="49" t="s">
        <v>804</v>
      </c>
      <c r="C8" t="s">
        <v>808</v>
      </c>
      <c r="D8" s="49" t="s">
        <v>123</v>
      </c>
      <c r="E8" s="49"/>
      <c r="F8" s="49"/>
    </row>
    <row r="9" spans="1:10" ht="14.25" customHeight="1" x14ac:dyDescent="0.2">
      <c r="A9" s="37" t="s">
        <v>817</v>
      </c>
      <c r="B9" s="49"/>
      <c r="C9" t="s">
        <v>122</v>
      </c>
      <c r="D9" s="49" t="s">
        <v>121</v>
      </c>
      <c r="E9" s="49"/>
      <c r="F9" s="49"/>
      <c r="G9" s="49"/>
      <c r="H9" s="49"/>
    </row>
    <row r="10" spans="1:10" ht="14.25" customHeight="1" x14ac:dyDescent="0.2">
      <c r="A10" s="160" t="str">
        <f ca="1">HYPERLINK("#" &amp; CELL("address", Concepts!$A$182), "╠═ Cards which give access to e-money stored on a software based e-money account ")</f>
        <v xml:space="preserve">╠═ Cards which give access to e-money stored on a software based e-money account </v>
      </c>
      <c r="B10" s="49" t="s">
        <v>818</v>
      </c>
      <c r="C10" t="s">
        <v>807</v>
      </c>
      <c r="D10" s="49" t="s">
        <v>119</v>
      </c>
      <c r="E10" s="49"/>
      <c r="F10" s="49"/>
      <c r="G10" s="49"/>
      <c r="H10" s="49"/>
    </row>
    <row r="11" spans="1:10" ht="14.25" customHeight="1" x14ac:dyDescent="0.2">
      <c r="A11" s="160" t="str">
        <f ca="1">HYPERLINK("#" &amp; CELL("address", Concepts!$A$183), "╠╗Cards on which e-money can be stored directly, of which:")</f>
        <v>╠╗Cards on which e-money can be stored directly, of which:</v>
      </c>
      <c r="B11" s="49" t="s">
        <v>819</v>
      </c>
      <c r="C11" s="160" t="str">
        <f ca="1">HYPERLINK("#" &amp; CELL("address", Concepts!$A$104), "Proprietary")</f>
        <v>Proprietary</v>
      </c>
      <c r="D11" s="49" t="s">
        <v>125</v>
      </c>
      <c r="E11" s="49"/>
      <c r="F11" s="49"/>
      <c r="G11" s="49"/>
      <c r="H11" s="49"/>
    </row>
    <row r="12" spans="1:10" ht="14.25" customHeight="1" x14ac:dyDescent="0.2">
      <c r="A12" s="160" t="str">
        <f ca="1">HYPERLINK("#" &amp; CELL("address", Concepts!$A$184), "║╚═ Cards on which e-money can be stored directly and have been loaded at least once")</f>
        <v>║╚═ Cards on which e-money can be stored directly and have been loaded at least once</v>
      </c>
      <c r="B12" s="49" t="s">
        <v>909</v>
      </c>
      <c r="C12" t="s">
        <v>359</v>
      </c>
      <c r="D12" s="49" t="s">
        <v>364</v>
      </c>
      <c r="E12" s="49"/>
      <c r="F12" s="49"/>
      <c r="G12" s="49"/>
      <c r="H12" s="49"/>
    </row>
    <row r="13" spans="1:10" ht="14.25" customHeight="1" x14ac:dyDescent="0.2">
      <c r="A13" s="160" t="str">
        <f ca="1">HYPERLINK("#" &amp; CELL("address", Concepts!$A$101), "Other")</f>
        <v>Other</v>
      </c>
      <c r="B13" s="49" t="s">
        <v>364</v>
      </c>
      <c r="E13" s="49"/>
      <c r="F13" s="49"/>
      <c r="G13" s="49"/>
      <c r="H13" s="49"/>
    </row>
    <row r="14" spans="1:10" ht="14.25" customHeight="1" x14ac:dyDescent="0.2">
      <c r="E14" s="49"/>
      <c r="F14" s="49"/>
      <c r="G14" s="49"/>
      <c r="H14" s="49"/>
    </row>
    <row r="15" spans="1:10" ht="14.25" customHeight="1" x14ac:dyDescent="0.2">
      <c r="B15" s="49"/>
      <c r="D15" s="49"/>
      <c r="E15" s="49"/>
      <c r="F15" s="49"/>
      <c r="G15" s="49"/>
      <c r="H15" s="49"/>
    </row>
    <row r="16" spans="1:10" ht="15" x14ac:dyDescent="0.2">
      <c r="E16" s="49"/>
      <c r="F16" s="49"/>
    </row>
    <row r="20" spans="1:1" ht="15" x14ac:dyDescent="0.2">
      <c r="A20" s="37" t="s">
        <v>476</v>
      </c>
    </row>
    <row r="21" spans="1:1" x14ac:dyDescent="0.2">
      <c r="A21" t="s">
        <v>908</v>
      </c>
    </row>
    <row r="22" spans="1:1" x14ac:dyDescent="0.2">
      <c r="A22" t="s">
        <v>2583</v>
      </c>
    </row>
    <row r="23" spans="1:1" x14ac:dyDescent="0.2">
      <c r="A23" s="53" t="str">
        <f ca="1">HYPERLINK("#" &amp; CELL("address", Concepts!$A$225), "Please see the definition of 'Payment card'.")</f>
        <v>Please see the definition of 'Payment card'.</v>
      </c>
    </row>
    <row r="24" spans="1:1" x14ac:dyDescent="0.2">
      <c r="A24" t="s">
        <v>2493</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5" tint="0.59999389629810485"/>
  </sheetPr>
  <dimension ref="A1:F27"/>
  <sheetViews>
    <sheetView workbookViewId="0"/>
  </sheetViews>
  <sheetFormatPr defaultRowHeight="14.25" x14ac:dyDescent="0.2"/>
  <cols>
    <col min="1" max="1" width="44.25" customWidth="1"/>
    <col min="2" max="2" width="13.875" customWidth="1"/>
    <col min="3" max="3" width="28.75" customWidth="1"/>
    <col min="5" max="5" width="17.625" bestFit="1" customWidth="1"/>
  </cols>
  <sheetData>
    <row r="1" spans="1:6" x14ac:dyDescent="0.2">
      <c r="A1" s="36" t="str">
        <f ca="1">HYPERLINK("#" &amp; CELL("address",INDEX!$A$1), "Go back to INDEX")</f>
        <v>Go back to INDEX</v>
      </c>
    </row>
    <row r="2" spans="1:6" ht="20.25" x14ac:dyDescent="0.2">
      <c r="A2" s="34" t="s">
        <v>1451</v>
      </c>
    </row>
    <row r="3" spans="1:6" ht="15" x14ac:dyDescent="0.2">
      <c r="A3" s="51" t="s">
        <v>187</v>
      </c>
      <c r="B3" s="51"/>
      <c r="C3" s="51" t="s">
        <v>1553</v>
      </c>
      <c r="D3" s="51"/>
      <c r="E3" s="51" t="s">
        <v>744</v>
      </c>
      <c r="F3" s="51"/>
    </row>
    <row r="4" spans="1:6" ht="15" x14ac:dyDescent="0.2">
      <c r="A4" s="165" t="str">
        <f ca="1">HYPERLINK("#" &amp; CELL("address", Concepts!$A$190), "ATMs, total")</f>
        <v>ATMs, total</v>
      </c>
      <c r="B4" s="49" t="s">
        <v>824</v>
      </c>
      <c r="C4" s="153" t="str">
        <f ca="1">HYPERLINK("#" &amp; CELL("address", Concepts!$A$145), "2-letter ISO 3166 country code")</f>
        <v>2-letter ISO 3166 country code</v>
      </c>
      <c r="D4" s="49" t="s">
        <v>360</v>
      </c>
      <c r="E4" s="148" t="str">
        <f ca="1">HYPERLINK("#" &amp; CELL("address", Concepts!$A$151), "Number of terminals")</f>
        <v>Number of terminals</v>
      </c>
      <c r="F4" s="49" t="s">
        <v>389</v>
      </c>
    </row>
    <row r="5" spans="1:6" ht="15" x14ac:dyDescent="0.2">
      <c r="A5" s="85" t="s">
        <v>820</v>
      </c>
      <c r="B5" s="49"/>
    </row>
    <row r="6" spans="1:6" ht="15" x14ac:dyDescent="0.2">
      <c r="A6" s="165" t="str">
        <f ca="1">HYPERLINK("#" &amp; CELL("address", Concepts!$A$191), "╠═ ATM with a credit transfer function")</f>
        <v>╠═ ATM with a credit transfer function</v>
      </c>
      <c r="B6" s="49" t="s">
        <v>825</v>
      </c>
    </row>
    <row r="7" spans="1:6" ht="15" x14ac:dyDescent="0.2">
      <c r="A7" s="165" t="str">
        <f ca="1">HYPERLINK("#" &amp; CELL("address", Concepts!$A$192), "╠═ ATM with a cash withdrawal function")</f>
        <v>╠═ ATM with a cash withdrawal function</v>
      </c>
      <c r="B7" s="49" t="s">
        <v>826</v>
      </c>
    </row>
    <row r="8" spans="1:6" ht="15" x14ac:dyDescent="0.2">
      <c r="A8" s="165" t="str">
        <f ca="1">HYPERLINK("#" &amp; CELL("address", Concepts!$A$193), "╠═ ATM accepting contactless transactions ")</f>
        <v xml:space="preserve">╠═ ATM accepting contactless transactions </v>
      </c>
      <c r="B8" s="49" t="s">
        <v>827</v>
      </c>
    </row>
    <row r="9" spans="1:6" ht="15" x14ac:dyDescent="0.2">
      <c r="A9" s="161" t="str">
        <f ca="1">HYPERLINK("#" &amp; CELL("address", Concepts!$A$194), "╚═ ATM with a (un)loading function")</f>
        <v>╚═ ATM with a (un)loading function</v>
      </c>
      <c r="B9" s="49" t="s">
        <v>841</v>
      </c>
    </row>
    <row r="10" spans="1:6" ht="15" x14ac:dyDescent="0.2">
      <c r="A10" s="21"/>
      <c r="B10" s="49"/>
    </row>
    <row r="11" spans="1:6" ht="15" x14ac:dyDescent="0.2">
      <c r="A11" s="165" t="str">
        <f ca="1">HYPERLINK("#" &amp; CELL("address", Concepts!$A$195), "POS terminals, total")</f>
        <v>POS terminals, total</v>
      </c>
      <c r="B11" s="49" t="s">
        <v>828</v>
      </c>
    </row>
    <row r="12" spans="1:6" ht="15" x14ac:dyDescent="0.2">
      <c r="A12" s="84" t="s">
        <v>823</v>
      </c>
      <c r="B12" s="49"/>
    </row>
    <row r="13" spans="1:6" ht="15" x14ac:dyDescent="0.2">
      <c r="A13" s="165" t="str">
        <f ca="1">HYPERLINK("#" &amp; CELL("address", Concepts!$A$196), "╠═ POS accepting contactless transactions ")</f>
        <v xml:space="preserve">╠═ POS accepting contactless transactions </v>
      </c>
      <c r="B13" s="49" t="s">
        <v>829</v>
      </c>
    </row>
    <row r="14" spans="1:6" ht="15" x14ac:dyDescent="0.2">
      <c r="A14" s="165" t="str">
        <f ca="1">HYPERLINK("#" &amp; CELL("address", Concepts!$A$197), "╚═ POS accepting e-money card transactions ")</f>
        <v xml:space="preserve">╚═ POS accepting e-money card transactions </v>
      </c>
      <c r="B14" s="49" t="s">
        <v>830</v>
      </c>
    </row>
    <row r="15" spans="1:6" ht="15" x14ac:dyDescent="0.2">
      <c r="A15" s="21"/>
      <c r="B15" s="49"/>
    </row>
    <row r="16" spans="1:6" ht="15" x14ac:dyDescent="0.2">
      <c r="A16" s="165" t="str">
        <f ca="1">HYPERLINK("#" &amp; CELL("address", Concepts!$A$198), "E-money card terminals, total")</f>
        <v>E-money card terminals, total</v>
      </c>
      <c r="B16" s="49" t="s">
        <v>835</v>
      </c>
    </row>
    <row r="17" spans="1:2" ht="15" x14ac:dyDescent="0.2">
      <c r="A17" s="84" t="s">
        <v>838</v>
      </c>
      <c r="B17" s="49"/>
    </row>
    <row r="18" spans="1:2" ht="15" x14ac:dyDescent="0.2">
      <c r="A18" s="165" t="str">
        <f ca="1">HYPERLINK("#" &amp; CELL("address", Concepts!$A$199), "╠═ E-money card loading and unloading terminals ")</f>
        <v xml:space="preserve">╠═ E-money card loading and unloading terminals </v>
      </c>
      <c r="B18" s="49" t="s">
        <v>839</v>
      </c>
    </row>
    <row r="19" spans="1:2" ht="15" x14ac:dyDescent="0.2">
      <c r="A19" s="165" t="str">
        <f ca="1">HYPERLINK("#" &amp; CELL("address", Concepts!$A$200), "╚═ E-money card accepting terminals ")</f>
        <v xml:space="preserve">╚═ E-money card accepting terminals </v>
      </c>
      <c r="B19" s="49" t="s">
        <v>840</v>
      </c>
    </row>
    <row r="20" spans="1:2" ht="15" x14ac:dyDescent="0.2">
      <c r="A20" s="56"/>
      <c r="B20" s="49"/>
    </row>
    <row r="21" spans="1:2" ht="15" x14ac:dyDescent="0.2">
      <c r="A21" t="s">
        <v>833</v>
      </c>
      <c r="B21" s="49" t="s">
        <v>364</v>
      </c>
    </row>
    <row r="24" spans="1:2" ht="15" x14ac:dyDescent="0.2">
      <c r="A24" s="37" t="s">
        <v>476</v>
      </c>
    </row>
    <row r="25" spans="1:2" x14ac:dyDescent="0.2">
      <c r="A25" t="s">
        <v>831</v>
      </c>
    </row>
    <row r="26" spans="1:2" x14ac:dyDescent="0.2">
      <c r="A26" t="s">
        <v>832</v>
      </c>
    </row>
    <row r="27" spans="1:2" x14ac:dyDescent="0.2">
      <c r="A27" s="55" t="s">
        <v>2587</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59999389629810485"/>
  </sheetPr>
  <dimension ref="A1:F22"/>
  <sheetViews>
    <sheetView workbookViewId="0"/>
  </sheetViews>
  <sheetFormatPr defaultRowHeight="14.25" x14ac:dyDescent="0.2"/>
  <cols>
    <col min="1" max="1" width="24" bestFit="1" customWidth="1"/>
    <col min="2" max="2" width="7" customWidth="1"/>
    <col min="3" max="3" width="26.5" customWidth="1"/>
    <col min="4" max="4" width="7" customWidth="1"/>
    <col min="5" max="5" width="18.375" customWidth="1"/>
    <col min="6" max="6" width="8.75" customWidth="1"/>
  </cols>
  <sheetData>
    <row r="1" spans="1:6" x14ac:dyDescent="0.2">
      <c r="A1" s="36" t="str">
        <f ca="1">HYPERLINK("#" &amp; CELL("address",INDEX!$A$1), "Go back to INDEX")</f>
        <v>Go back to INDEX</v>
      </c>
      <c r="B1" s="36"/>
      <c r="C1" s="36"/>
      <c r="D1" s="36"/>
    </row>
    <row r="2" spans="1:6" ht="20.25" x14ac:dyDescent="0.2">
      <c r="A2" s="34" t="s">
        <v>1455</v>
      </c>
      <c r="B2" s="34"/>
      <c r="C2" s="34"/>
      <c r="D2" s="34"/>
      <c r="E2" s="37"/>
      <c r="F2" s="37"/>
    </row>
    <row r="3" spans="1:6" ht="15" x14ac:dyDescent="0.2">
      <c r="A3" s="51" t="s">
        <v>210</v>
      </c>
      <c r="B3" s="51"/>
      <c r="C3" s="51" t="s">
        <v>906</v>
      </c>
      <c r="D3" s="51"/>
      <c r="E3" s="51" t="s">
        <v>744</v>
      </c>
      <c r="F3" s="51"/>
    </row>
    <row r="4" spans="1:6" ht="15" x14ac:dyDescent="0.2">
      <c r="A4" s="148" t="str">
        <f ca="1">HYPERLINK("#" &amp; CELL("address", Concepts!$A$202), "Payment account")</f>
        <v>Payment account</v>
      </c>
      <c r="B4" s="49" t="s">
        <v>1006</v>
      </c>
      <c r="C4" s="164" t="str">
        <f ca="1">HYPERLINK("#" &amp; CELL("address", Concepts!$A$6), "MFIs:")</f>
        <v>MFIs:</v>
      </c>
      <c r="D4" s="49"/>
      <c r="E4" s="148" t="str">
        <f ca="1">HYPERLINK("#" &amp; CELL("address", Concepts!$A$149), "Number of accounts")</f>
        <v>Number of accounts</v>
      </c>
      <c r="F4" s="49" t="s">
        <v>389</v>
      </c>
    </row>
    <row r="5" spans="1:6" ht="15" x14ac:dyDescent="0.2">
      <c r="A5" s="160" t="str">
        <f ca="1">HYPERLINK("#" &amp; CELL("address", Concepts!$A$203), "Technical account")</f>
        <v>Technical account</v>
      </c>
      <c r="B5" s="49" t="s">
        <v>1005</v>
      </c>
      <c r="C5" s="160" t="str">
        <f ca="1">HYPERLINK("#" &amp; CELL("address", Concepts!$A$7), "╠═ Credit institution")</f>
        <v>╠═ Credit institution</v>
      </c>
      <c r="D5" s="49" t="s">
        <v>356</v>
      </c>
    </row>
    <row r="6" spans="1:6" ht="15" x14ac:dyDescent="0.2">
      <c r="C6" s="160" t="str">
        <f ca="1">HYPERLINK("#" &amp; CELL("address", Concepts!$A$8), "╠═ Monetary fund")</f>
        <v>╠═ Monetary fund</v>
      </c>
      <c r="D6" s="49" t="s">
        <v>357</v>
      </c>
    </row>
    <row r="7" spans="1:6" ht="15" x14ac:dyDescent="0.2">
      <c r="B7" s="49"/>
      <c r="C7" s="160" t="str">
        <f ca="1">HYPERLINK("#" &amp; CELL("address", Concepts!$A$9), "╠═ Electronic money institution ")</f>
        <v xml:space="preserve">╠═ Electronic money institution </v>
      </c>
      <c r="D7" s="49" t="s">
        <v>475</v>
      </c>
    </row>
    <row r="8" spans="1:6" ht="15" x14ac:dyDescent="0.2">
      <c r="C8" s="160" t="str">
        <f ca="1">HYPERLINK("#" &amp; CELL("address", Concepts!$A$13), "╠═ Payment institution")</f>
        <v>╠═ Payment institution</v>
      </c>
      <c r="D8" s="49" t="s">
        <v>1015</v>
      </c>
    </row>
    <row r="9" spans="1:6" ht="15" x14ac:dyDescent="0.2">
      <c r="C9" s="160" t="str">
        <f ca="1">HYPERLINK("#" &amp; CELL("address", Concepts!$A$10), "╚═ Other MFI")</f>
        <v>╚═ Other MFI</v>
      </c>
      <c r="D9" s="49" t="s">
        <v>470</v>
      </c>
    </row>
    <row r="10" spans="1:6" ht="15" x14ac:dyDescent="0.2">
      <c r="C10" s="164" t="str">
        <f ca="1">HYPERLINK("#" &amp; CELL("address", Concepts!$A$11), "Non-MFIs:")</f>
        <v>Non-MFIs:</v>
      </c>
      <c r="D10" s="49"/>
    </row>
    <row r="11" spans="1:6" ht="15" x14ac:dyDescent="0.2">
      <c r="C11" s="160" t="str">
        <f ca="1">HYPERLINK("#" &amp; CELL("address", Concepts!$A$12), "╠═ Non-monetary fund")</f>
        <v>╠═ Non-monetary fund</v>
      </c>
      <c r="D11" s="49" t="s">
        <v>352</v>
      </c>
    </row>
    <row r="12" spans="1:6" ht="15" x14ac:dyDescent="0.2">
      <c r="C12" s="160" t="str">
        <f ca="1">HYPERLINK("#" &amp; CELL("address", Concepts!$A$14), "╠═ Households and NPISHs")</f>
        <v>╠═ Households and NPISHs</v>
      </c>
      <c r="D12" s="49" t="s">
        <v>738</v>
      </c>
    </row>
    <row r="13" spans="1:6" ht="15" x14ac:dyDescent="0.2">
      <c r="C13" s="160" t="str">
        <f ca="1">HYPERLINK("#" &amp; CELL("address", Concepts!$A$15), "╠═ Non-financial corporations")</f>
        <v>╠═ Non-financial corporations</v>
      </c>
      <c r="D13" s="49" t="s">
        <v>739</v>
      </c>
    </row>
    <row r="14" spans="1:6" ht="15" x14ac:dyDescent="0.2">
      <c r="C14" s="160" t="str">
        <f ca="1">HYPERLINK("#" &amp; CELL("address", Concepts!$A$16), "╚═ Other non-MFI")</f>
        <v>╚═ Other non-MFI</v>
      </c>
      <c r="D14" s="49" t="s">
        <v>472</v>
      </c>
    </row>
    <row r="15" spans="1:6" ht="15" x14ac:dyDescent="0.2">
      <c r="C15" s="160" t="str">
        <f ca="1">HYPERLINK("#" &amp; CELL("address", Concepts!$A$18), "Unknown")</f>
        <v>Unknown</v>
      </c>
      <c r="D15" s="49" t="s">
        <v>350</v>
      </c>
    </row>
    <row r="20" spans="1:1" ht="15" x14ac:dyDescent="0.2">
      <c r="A20" s="37" t="s">
        <v>2392</v>
      </c>
    </row>
    <row r="21" spans="1:1" x14ac:dyDescent="0.2">
      <c r="A21" t="s">
        <v>2393</v>
      </c>
    </row>
    <row r="22" spans="1:1" x14ac:dyDescent="0.2">
      <c r="A22" t="s">
        <v>2649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L78"/>
  <sheetViews>
    <sheetView zoomScale="130" zoomScaleNormal="130" workbookViewId="0">
      <selection activeCell="B1" sqref="B1"/>
    </sheetView>
  </sheetViews>
  <sheetFormatPr defaultRowHeight="14.25" x14ac:dyDescent="0.2"/>
  <cols>
    <col min="1" max="1" width="3.5" style="203" customWidth="1"/>
    <col min="2" max="10" width="9" style="203"/>
    <col min="11" max="11" width="9" style="208"/>
    <col min="12" max="16384" width="9" style="203"/>
  </cols>
  <sheetData>
    <row r="1" spans="2:12" x14ac:dyDescent="0.2">
      <c r="B1" s="202" t="str">
        <f ca="1">HYPERLINK("#" &amp; CELL("address",INDEX!$A$1), "Go back to INDEX")</f>
        <v>Go back to INDEX</v>
      </c>
    </row>
    <row r="2" spans="2:12" ht="11.25" customHeight="1" x14ac:dyDescent="0.2">
      <c r="B2" s="246" t="str">
        <f>"Last update: "&amp;TEXT(MAX(Modifications!$A:$A),"yyyy-mm-dd")</f>
        <v>Last update: 2023-12-12</v>
      </c>
    </row>
    <row r="3" spans="2:12" ht="28.5" customHeight="1" thickBot="1" x14ac:dyDescent="0.3">
      <c r="B3" s="250" t="s">
        <v>483</v>
      </c>
      <c r="C3" s="250"/>
      <c r="D3" s="250"/>
      <c r="E3" s="250"/>
      <c r="F3" s="250"/>
      <c r="G3" s="250"/>
      <c r="H3" s="250"/>
      <c r="I3" s="250"/>
      <c r="J3" s="250"/>
    </row>
    <row r="4" spans="2:12" ht="14.25" customHeight="1" x14ac:dyDescent="0.2">
      <c r="B4" s="204"/>
    </row>
    <row r="5" spans="2:12" ht="71.25" customHeight="1" x14ac:dyDescent="0.2">
      <c r="B5" s="251" t="s">
        <v>2590</v>
      </c>
      <c r="C5" s="251"/>
      <c r="D5" s="251"/>
      <c r="E5" s="251"/>
      <c r="F5" s="251"/>
      <c r="G5" s="251"/>
      <c r="H5" s="251"/>
      <c r="I5" s="251"/>
      <c r="J5" s="251"/>
    </row>
    <row r="6" spans="2:12" ht="7.15" customHeight="1" x14ac:dyDescent="0.2"/>
    <row r="7" spans="2:12" ht="57" customHeight="1" x14ac:dyDescent="0.2">
      <c r="B7" s="251" t="s">
        <v>1867</v>
      </c>
      <c r="C7" s="251"/>
      <c r="D7" s="251"/>
      <c r="E7" s="251"/>
      <c r="F7" s="251"/>
      <c r="G7" s="251"/>
      <c r="H7" s="251"/>
      <c r="I7" s="251"/>
      <c r="J7" s="251"/>
    </row>
    <row r="8" spans="2:12" ht="7.15" customHeight="1" x14ac:dyDescent="0.2"/>
    <row r="9" spans="2:12" ht="71.25" customHeight="1" x14ac:dyDescent="0.2">
      <c r="B9" s="251" t="s">
        <v>1868</v>
      </c>
      <c r="C9" s="251"/>
      <c r="D9" s="251"/>
      <c r="E9" s="251"/>
      <c r="F9" s="251"/>
      <c r="G9" s="251"/>
      <c r="H9" s="251"/>
      <c r="I9" s="251"/>
      <c r="J9" s="251"/>
    </row>
    <row r="10" spans="2:12" ht="7.15" customHeight="1" x14ac:dyDescent="0.2"/>
    <row r="11" spans="2:12" ht="28.5" customHeight="1" x14ac:dyDescent="0.25">
      <c r="B11" s="256" t="s">
        <v>1838</v>
      </c>
      <c r="C11" s="256"/>
      <c r="D11" s="256"/>
      <c r="E11" s="256"/>
      <c r="F11" s="256"/>
      <c r="G11" s="256"/>
      <c r="H11" s="256"/>
      <c r="I11" s="256"/>
      <c r="J11" s="256"/>
      <c r="L11" s="208"/>
    </row>
    <row r="12" spans="2:12" ht="8.1" customHeight="1" x14ac:dyDescent="0.2">
      <c r="B12" s="205"/>
      <c r="L12" s="208"/>
    </row>
    <row r="13" spans="2:12" ht="30" customHeight="1" x14ac:dyDescent="0.2">
      <c r="B13" s="251" t="s">
        <v>1869</v>
      </c>
      <c r="C13" s="251"/>
      <c r="D13" s="251"/>
      <c r="E13" s="251"/>
      <c r="F13" s="251"/>
      <c r="G13" s="251"/>
      <c r="H13" s="251"/>
      <c r="I13" s="251"/>
      <c r="J13" s="252"/>
      <c r="L13" s="208"/>
    </row>
    <row r="14" spans="2:12" ht="7.15" customHeight="1" x14ac:dyDescent="0.2">
      <c r="B14" s="251"/>
      <c r="C14" s="251"/>
      <c r="D14" s="251"/>
      <c r="E14" s="251"/>
      <c r="F14" s="251"/>
      <c r="G14" s="251"/>
      <c r="H14" s="251"/>
      <c r="I14" s="251"/>
      <c r="J14" s="252"/>
      <c r="L14" s="208"/>
    </row>
    <row r="15" spans="2:12" ht="14.25" customHeight="1" x14ac:dyDescent="0.2">
      <c r="B15" s="217" t="s">
        <v>1967</v>
      </c>
      <c r="C15" s="213"/>
      <c r="D15" s="213"/>
      <c r="E15" s="213"/>
      <c r="F15" s="213"/>
      <c r="G15" s="213"/>
      <c r="H15" s="213"/>
      <c r="I15" s="213"/>
      <c r="J15" s="214"/>
      <c r="L15" s="208"/>
    </row>
    <row r="16" spans="2:12" x14ac:dyDescent="0.2">
      <c r="B16" s="206" t="s">
        <v>1870</v>
      </c>
      <c r="L16" s="208"/>
    </row>
    <row r="17" spans="2:12" x14ac:dyDescent="0.2">
      <c r="B17" s="206" t="s">
        <v>1871</v>
      </c>
      <c r="L17" s="208"/>
    </row>
    <row r="18" spans="2:12" x14ac:dyDescent="0.2">
      <c r="B18" s="206" t="s">
        <v>1872</v>
      </c>
      <c r="L18" s="208"/>
    </row>
    <row r="19" spans="2:12" x14ac:dyDescent="0.2">
      <c r="B19" s="206" t="s">
        <v>1873</v>
      </c>
      <c r="L19" s="208"/>
    </row>
    <row r="20" spans="2:12" x14ac:dyDescent="0.2">
      <c r="B20" s="206" t="s">
        <v>1874</v>
      </c>
      <c r="L20" s="208"/>
    </row>
    <row r="21" spans="2:12" x14ac:dyDescent="0.2">
      <c r="B21" s="206" t="s">
        <v>1875</v>
      </c>
    </row>
    <row r="22" spans="2:12" x14ac:dyDescent="0.2">
      <c r="B22" s="206" t="s">
        <v>1876</v>
      </c>
    </row>
    <row r="23" spans="2:12" x14ac:dyDescent="0.2">
      <c r="B23" s="206" t="s">
        <v>1877</v>
      </c>
    </row>
    <row r="24" spans="2:12" x14ac:dyDescent="0.2">
      <c r="B24" s="206" t="s">
        <v>1878</v>
      </c>
    </row>
    <row r="25" spans="2:12" x14ac:dyDescent="0.2">
      <c r="B25" s="206" t="s">
        <v>1879</v>
      </c>
      <c r="L25" s="208"/>
    </row>
    <row r="26" spans="2:12" x14ac:dyDescent="0.2">
      <c r="B26" s="206" t="s">
        <v>1880</v>
      </c>
      <c r="L26" s="208"/>
    </row>
    <row r="27" spans="2:12" ht="7.15" customHeight="1" x14ac:dyDescent="0.2">
      <c r="B27" s="206"/>
      <c r="L27" s="208"/>
    </row>
    <row r="28" spans="2:12" ht="15" x14ac:dyDescent="0.2">
      <c r="B28" s="217" t="s">
        <v>1968</v>
      </c>
      <c r="L28" s="208"/>
    </row>
    <row r="29" spans="2:12" x14ac:dyDescent="0.2">
      <c r="B29" s="206" t="s">
        <v>1961</v>
      </c>
      <c r="L29" s="208"/>
    </row>
    <row r="30" spans="2:12" x14ac:dyDescent="0.2">
      <c r="B30" s="206" t="s">
        <v>1962</v>
      </c>
      <c r="L30" s="208"/>
    </row>
    <row r="31" spans="2:12" x14ac:dyDescent="0.2">
      <c r="B31" s="206" t="s">
        <v>1963</v>
      </c>
      <c r="L31" s="208"/>
    </row>
    <row r="32" spans="2:12" x14ac:dyDescent="0.2">
      <c r="B32" s="206" t="s">
        <v>1964</v>
      </c>
      <c r="L32" s="208"/>
    </row>
    <row r="33" spans="2:12" x14ac:dyDescent="0.2">
      <c r="B33" s="206" t="s">
        <v>1965</v>
      </c>
      <c r="L33" s="208"/>
    </row>
    <row r="34" spans="2:12" x14ac:dyDescent="0.2">
      <c r="B34" s="206" t="s">
        <v>1966</v>
      </c>
      <c r="L34" s="208"/>
    </row>
    <row r="35" spans="2:12" ht="7.15" customHeight="1" x14ac:dyDescent="0.2">
      <c r="B35" s="206"/>
      <c r="L35" s="208"/>
    </row>
    <row r="36" spans="2:12" x14ac:dyDescent="0.2">
      <c r="B36" s="203" t="s">
        <v>2348</v>
      </c>
      <c r="L36" s="208"/>
    </row>
    <row r="37" spans="2:12" ht="7.15" customHeight="1" x14ac:dyDescent="0.2">
      <c r="L37" s="208"/>
    </row>
    <row r="38" spans="2:12" ht="14.25" customHeight="1" x14ac:dyDescent="0.2">
      <c r="B38" s="217" t="s">
        <v>1967</v>
      </c>
      <c r="C38" s="213"/>
      <c r="D38" s="213"/>
      <c r="E38" s="213"/>
      <c r="F38" s="213"/>
      <c r="G38" s="213"/>
      <c r="H38" s="213"/>
      <c r="I38" s="213"/>
      <c r="J38" s="214"/>
      <c r="L38" s="208"/>
    </row>
    <row r="39" spans="2:12" x14ac:dyDescent="0.2">
      <c r="B39" s="206" t="s">
        <v>1881</v>
      </c>
      <c r="L39" s="208"/>
    </row>
    <row r="40" spans="2:12" x14ac:dyDescent="0.2">
      <c r="B40" s="206" t="s">
        <v>1882</v>
      </c>
      <c r="L40" s="208"/>
    </row>
    <row r="41" spans="2:12" x14ac:dyDescent="0.2">
      <c r="B41" s="206" t="s">
        <v>1883</v>
      </c>
      <c r="L41" s="208"/>
    </row>
    <row r="42" spans="2:12" x14ac:dyDescent="0.2">
      <c r="B42" s="206" t="s">
        <v>1884</v>
      </c>
      <c r="L42" s="208"/>
    </row>
    <row r="43" spans="2:12" x14ac:dyDescent="0.2">
      <c r="B43" s="206" t="s">
        <v>1885</v>
      </c>
      <c r="L43" s="208"/>
    </row>
    <row r="44" spans="2:12" ht="28.5" customHeight="1" x14ac:dyDescent="0.2">
      <c r="B44" s="257" t="s">
        <v>1886</v>
      </c>
      <c r="C44" s="257"/>
      <c r="D44" s="257"/>
      <c r="E44" s="257"/>
      <c r="F44" s="257"/>
      <c r="G44" s="257"/>
      <c r="H44" s="257"/>
      <c r="I44" s="257"/>
      <c r="J44" s="258"/>
      <c r="L44" s="208"/>
    </row>
    <row r="45" spans="2:12" ht="7.15" customHeight="1" x14ac:dyDescent="0.2">
      <c r="B45" s="215"/>
      <c r="C45" s="215"/>
      <c r="D45" s="215"/>
      <c r="E45" s="215"/>
      <c r="F45" s="215"/>
      <c r="G45" s="215"/>
      <c r="H45" s="215"/>
      <c r="I45" s="215"/>
      <c r="J45" s="216"/>
      <c r="L45" s="208"/>
    </row>
    <row r="46" spans="2:12" ht="15" x14ac:dyDescent="0.2">
      <c r="B46" s="217" t="s">
        <v>1968</v>
      </c>
      <c r="L46" s="208"/>
    </row>
    <row r="47" spans="2:12" x14ac:dyDescent="0.2">
      <c r="B47" s="206" t="s">
        <v>1969</v>
      </c>
      <c r="L47" s="208"/>
    </row>
    <row r="48" spans="2:12" ht="7.15" customHeight="1" x14ac:dyDescent="0.2">
      <c r="B48" s="213"/>
      <c r="C48" s="213"/>
      <c r="D48" s="213"/>
      <c r="E48" s="213"/>
      <c r="F48" s="213"/>
      <c r="G48" s="213"/>
      <c r="H48" s="213"/>
      <c r="I48" s="213"/>
      <c r="J48" s="213"/>
    </row>
    <row r="49" spans="2:12" ht="42.75" customHeight="1" x14ac:dyDescent="0.2">
      <c r="B49" s="251" t="s">
        <v>2509</v>
      </c>
      <c r="C49" s="251"/>
      <c r="D49" s="251"/>
      <c r="E49" s="251"/>
      <c r="F49" s="251"/>
      <c r="G49" s="251"/>
      <c r="H49" s="251"/>
      <c r="I49" s="251"/>
      <c r="J49" s="251"/>
    </row>
    <row r="50" spans="2:12" ht="7.15" customHeight="1" x14ac:dyDescent="0.2">
      <c r="B50" s="247"/>
      <c r="C50" s="247"/>
      <c r="D50" s="247"/>
      <c r="E50" s="247"/>
      <c r="F50" s="247"/>
      <c r="G50" s="247"/>
      <c r="H50" s="247"/>
      <c r="I50" s="247"/>
      <c r="J50" s="247"/>
    </row>
    <row r="51" spans="2:12" ht="15" x14ac:dyDescent="0.25">
      <c r="B51" s="253" t="str">
        <f ca="1">HYPERLINK("#" &amp; CELL("address",Concepts!$A$3), "See detailed definition of “Payment transaction involving non-MFIs”")</f>
        <v>See detailed definition of “Payment transaction involving non-MFIs”</v>
      </c>
      <c r="C51" s="254"/>
      <c r="D51" s="254"/>
      <c r="E51" s="254"/>
      <c r="F51" s="254"/>
      <c r="G51" s="254"/>
      <c r="H51" s="254"/>
      <c r="I51" s="254"/>
      <c r="J51" s="254"/>
      <c r="L51" s="208"/>
    </row>
    <row r="52" spans="2:12" ht="7.15" customHeight="1" x14ac:dyDescent="0.2">
      <c r="B52" s="247"/>
      <c r="C52" s="247"/>
      <c r="D52" s="247"/>
      <c r="E52" s="247"/>
      <c r="F52" s="247"/>
      <c r="G52" s="247"/>
      <c r="H52" s="247"/>
      <c r="I52" s="247"/>
      <c r="J52" s="247"/>
    </row>
    <row r="53" spans="2:12" ht="28.5" customHeight="1" x14ac:dyDescent="0.25">
      <c r="B53" s="256" t="s">
        <v>2572</v>
      </c>
      <c r="C53" s="256"/>
      <c r="D53" s="256"/>
      <c r="E53" s="256"/>
      <c r="F53" s="256"/>
      <c r="G53" s="256"/>
      <c r="H53" s="256"/>
      <c r="I53" s="256"/>
      <c r="J53" s="256"/>
      <c r="L53" s="208"/>
    </row>
    <row r="54" spans="2:12" ht="8.1" customHeight="1" x14ac:dyDescent="0.2">
      <c r="B54" s="205"/>
      <c r="L54" s="208"/>
    </row>
    <row r="55" spans="2:12" ht="71.25" customHeight="1" x14ac:dyDescent="0.2">
      <c r="B55" s="259" t="s">
        <v>2574</v>
      </c>
      <c r="C55" s="259"/>
      <c r="D55" s="259"/>
      <c r="E55" s="259"/>
      <c r="F55" s="259"/>
      <c r="G55" s="259"/>
      <c r="H55" s="259"/>
      <c r="I55" s="259"/>
      <c r="J55" s="259"/>
      <c r="L55" s="208"/>
    </row>
    <row r="56" spans="2:12" ht="8.1" customHeight="1" x14ac:dyDescent="0.2">
      <c r="B56" s="205"/>
      <c r="L56" s="208"/>
    </row>
    <row r="57" spans="2:12" ht="28.5" customHeight="1" x14ac:dyDescent="0.25">
      <c r="B57" s="256" t="s">
        <v>2507</v>
      </c>
      <c r="C57" s="256"/>
      <c r="D57" s="256"/>
      <c r="E57" s="256"/>
      <c r="F57" s="256"/>
      <c r="G57" s="256"/>
      <c r="H57" s="256"/>
      <c r="I57" s="256"/>
      <c r="J57" s="256"/>
    </row>
    <row r="58" spans="2:12" ht="7.15" customHeight="1" x14ac:dyDescent="0.2">
      <c r="L58" s="208"/>
    </row>
    <row r="59" spans="2:12" ht="71.25" customHeight="1" x14ac:dyDescent="0.2">
      <c r="B59" s="251" t="s">
        <v>2353</v>
      </c>
      <c r="C59" s="251"/>
      <c r="D59" s="251"/>
      <c r="E59" s="251"/>
      <c r="F59" s="251"/>
      <c r="G59" s="251"/>
      <c r="H59" s="251"/>
      <c r="I59" s="251"/>
      <c r="J59" s="252"/>
      <c r="L59" s="208"/>
    </row>
    <row r="60" spans="2:12" ht="7.15" customHeight="1" x14ac:dyDescent="0.2">
      <c r="B60" s="207"/>
      <c r="C60" s="207"/>
      <c r="D60" s="207"/>
      <c r="E60" s="207"/>
      <c r="F60" s="207"/>
      <c r="G60" s="207"/>
      <c r="H60" s="207"/>
      <c r="I60" s="207"/>
      <c r="J60" s="211"/>
      <c r="L60" s="208"/>
    </row>
    <row r="61" spans="2:12" x14ac:dyDescent="0.2">
      <c r="B61" s="255" t="s">
        <v>1887</v>
      </c>
      <c r="C61" s="255"/>
      <c r="D61" s="255"/>
      <c r="E61" s="255"/>
      <c r="F61" s="255"/>
      <c r="G61" s="255"/>
      <c r="H61" s="255"/>
      <c r="I61" s="255"/>
      <c r="J61" s="255"/>
      <c r="L61" s="208"/>
    </row>
    <row r="62" spans="2:12" x14ac:dyDescent="0.2">
      <c r="B62" s="209" t="s">
        <v>1888</v>
      </c>
      <c r="C62" s="210"/>
      <c r="D62" s="210"/>
      <c r="E62" s="210"/>
      <c r="F62" s="210"/>
      <c r="G62" s="210"/>
      <c r="H62" s="210"/>
      <c r="I62" s="210"/>
      <c r="J62" s="218"/>
      <c r="L62" s="208"/>
    </row>
    <row r="63" spans="2:12" ht="7.15" customHeight="1" x14ac:dyDescent="0.2"/>
    <row r="64" spans="2:12" ht="28.5" customHeight="1" x14ac:dyDescent="0.2">
      <c r="B64" s="251" t="s">
        <v>2386</v>
      </c>
      <c r="C64" s="251"/>
      <c r="D64" s="251"/>
      <c r="E64" s="251"/>
      <c r="F64" s="251"/>
      <c r="G64" s="251"/>
      <c r="H64" s="251"/>
      <c r="I64" s="251"/>
      <c r="J64" s="251"/>
      <c r="L64" s="208"/>
    </row>
    <row r="65" spans="2:12" x14ac:dyDescent="0.2">
      <c r="B65" s="202" t="s">
        <v>2352</v>
      </c>
      <c r="L65" s="208"/>
    </row>
    <row r="66" spans="2:12" ht="7.15" customHeight="1" x14ac:dyDescent="0.2"/>
    <row r="67" spans="2:12" ht="28.5" customHeight="1" x14ac:dyDescent="0.25">
      <c r="B67" s="256" t="s">
        <v>2387</v>
      </c>
      <c r="C67" s="256"/>
      <c r="D67" s="256"/>
      <c r="E67" s="256"/>
      <c r="F67" s="256"/>
      <c r="G67" s="256"/>
      <c r="H67" s="256"/>
      <c r="I67" s="256"/>
      <c r="J67" s="256"/>
    </row>
    <row r="68" spans="2:12" ht="7.15" customHeight="1" x14ac:dyDescent="0.2"/>
    <row r="69" spans="2:12" ht="85.5" customHeight="1" x14ac:dyDescent="0.2">
      <c r="B69" s="251" t="s">
        <v>2388</v>
      </c>
      <c r="C69" s="251"/>
      <c r="D69" s="251"/>
      <c r="E69" s="251"/>
      <c r="F69" s="251"/>
      <c r="G69" s="251"/>
      <c r="H69" s="251"/>
      <c r="I69" s="251"/>
      <c r="J69" s="251"/>
    </row>
    <row r="70" spans="2:12" ht="7.15" customHeight="1" x14ac:dyDescent="0.2"/>
    <row r="71" spans="2:12" ht="28.5" customHeight="1" x14ac:dyDescent="0.25">
      <c r="B71" s="256" t="s">
        <v>2349</v>
      </c>
      <c r="C71" s="256"/>
      <c r="D71" s="256"/>
      <c r="E71" s="256"/>
      <c r="F71" s="256"/>
      <c r="G71" s="256"/>
      <c r="H71" s="256"/>
      <c r="I71" s="256"/>
      <c r="J71" s="256"/>
    </row>
    <row r="72" spans="2:12" ht="7.15" customHeight="1" x14ac:dyDescent="0.2"/>
    <row r="73" spans="2:12" ht="15" x14ac:dyDescent="0.2">
      <c r="B73" s="205" t="s">
        <v>2350</v>
      </c>
    </row>
    <row r="74" spans="2:12" ht="42.75" customHeight="1" x14ac:dyDescent="0.2">
      <c r="B74" s="251" t="s">
        <v>2351</v>
      </c>
      <c r="C74" s="251"/>
      <c r="D74" s="251"/>
      <c r="E74" s="251"/>
      <c r="F74" s="251"/>
      <c r="G74" s="251"/>
      <c r="H74" s="251"/>
      <c r="I74" s="251"/>
      <c r="J74" s="251"/>
    </row>
    <row r="75" spans="2:12" ht="7.15" customHeight="1" x14ac:dyDescent="0.2"/>
    <row r="76" spans="2:12" ht="15" x14ac:dyDescent="0.2">
      <c r="B76" s="205" t="s">
        <v>2354</v>
      </c>
    </row>
    <row r="77" spans="2:12" ht="42.75" customHeight="1" x14ac:dyDescent="0.2">
      <c r="B77" s="251" t="s">
        <v>2355</v>
      </c>
      <c r="C77" s="251"/>
      <c r="D77" s="251"/>
      <c r="E77" s="251"/>
      <c r="F77" s="251"/>
      <c r="G77" s="251"/>
      <c r="H77" s="251"/>
      <c r="I77" s="251"/>
      <c r="J77" s="251"/>
    </row>
    <row r="78" spans="2:12" ht="7.15" customHeight="1" x14ac:dyDescent="0.2"/>
  </sheetData>
  <mergeCells count="21">
    <mergeCell ref="B77:J77"/>
    <mergeCell ref="B64:J64"/>
    <mergeCell ref="B67:J67"/>
    <mergeCell ref="B69:J69"/>
    <mergeCell ref="B71:J71"/>
    <mergeCell ref="B74:J74"/>
    <mergeCell ref="B49:J49"/>
    <mergeCell ref="B51:J51"/>
    <mergeCell ref="B61:J61"/>
    <mergeCell ref="B14:J14"/>
    <mergeCell ref="B11:J11"/>
    <mergeCell ref="B44:J44"/>
    <mergeCell ref="B59:J59"/>
    <mergeCell ref="B57:J57"/>
    <mergeCell ref="B53:J53"/>
    <mergeCell ref="B55:J55"/>
    <mergeCell ref="B3:J3"/>
    <mergeCell ref="B5:J5"/>
    <mergeCell ref="B7:J7"/>
    <mergeCell ref="B13:J13"/>
    <mergeCell ref="B9:J9"/>
  </mergeCells>
  <hyperlinks>
    <hyperlink ref="B65" r:id="rId1"/>
  </hyperlinks>
  <pageMargins left="0.7" right="0.7" top="0.75" bottom="0.75" header="0.3" footer="0.3"/>
  <pageSetup paperSize="9" scale="78" fitToHeight="0"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5" tint="0.59999389629810485"/>
  </sheetPr>
  <dimension ref="A1:T5"/>
  <sheetViews>
    <sheetView workbookViewId="0"/>
  </sheetViews>
  <sheetFormatPr defaultRowHeight="14.25" x14ac:dyDescent="0.2"/>
  <cols>
    <col min="1" max="1" width="14" customWidth="1"/>
    <col min="2" max="2" width="7.75" customWidth="1"/>
    <col min="3" max="3" width="27.5" customWidth="1"/>
    <col min="4" max="4" width="7.75" customWidth="1"/>
    <col min="5" max="5" width="12.25" customWidth="1"/>
    <col min="6" max="6" width="7.75" customWidth="1"/>
    <col min="7" max="7" width="36.125" customWidth="1"/>
    <col min="8" max="8" width="7.75" customWidth="1"/>
    <col min="9" max="9" width="27.25" customWidth="1"/>
    <col min="10" max="10" width="13.625" customWidth="1"/>
    <col min="11" max="11" width="17.625" customWidth="1"/>
    <col min="12" max="12" width="5.625" customWidth="1"/>
    <col min="13" max="13" width="19.25" customWidth="1"/>
  </cols>
  <sheetData>
    <row r="1" spans="1:20" ht="15" x14ac:dyDescent="0.2">
      <c r="A1" s="36" t="str">
        <f ca="1">HYPERLINK("#" &amp; CELL("address",INDEX!$A$1), "Go back to INDEX")</f>
        <v>Go back to INDEX</v>
      </c>
      <c r="B1" s="37"/>
      <c r="C1" s="37"/>
    </row>
    <row r="2" spans="1:20" ht="20.25" x14ac:dyDescent="0.2">
      <c r="A2" s="34" t="s">
        <v>1689</v>
      </c>
      <c r="B2" s="37"/>
    </row>
    <row r="3" spans="1:20" ht="17.25" customHeight="1" x14ac:dyDescent="0.2">
      <c r="A3" s="51" t="s">
        <v>2585</v>
      </c>
      <c r="B3" s="51"/>
      <c r="C3" s="51" t="s">
        <v>853</v>
      </c>
      <c r="D3" s="51"/>
      <c r="E3" s="51" t="s">
        <v>210</v>
      </c>
      <c r="F3" s="51"/>
      <c r="G3" s="51" t="s">
        <v>855</v>
      </c>
      <c r="H3" s="51"/>
      <c r="I3" s="51" t="s">
        <v>912</v>
      </c>
      <c r="J3" s="51"/>
      <c r="K3" s="51" t="s">
        <v>744</v>
      </c>
      <c r="L3" s="51"/>
      <c r="M3" s="51"/>
      <c r="N3" s="51"/>
      <c r="O3" s="51"/>
      <c r="P3" s="51"/>
      <c r="Q3" s="51"/>
      <c r="R3" s="51"/>
      <c r="S3" s="51"/>
      <c r="T3" s="51"/>
    </row>
    <row r="4" spans="1:20" ht="14.25" customHeight="1" x14ac:dyDescent="0.2">
      <c r="A4" s="175" t="str">
        <f ca="1">HYPERLINK("#" &amp; CELL("address", Concepts!$A$165), "Software")</f>
        <v>Software</v>
      </c>
      <c r="B4" s="49" t="s">
        <v>916</v>
      </c>
      <c r="C4" s="160" t="str">
        <f ca="1">HYPERLINK("#" &amp; CELL("address", Concepts!$A$206), "Active within last 12 months")</f>
        <v>Active within last 12 months</v>
      </c>
      <c r="D4" s="49" t="s">
        <v>1042</v>
      </c>
      <c r="E4" s="160" t="s">
        <v>2532</v>
      </c>
      <c r="F4" s="49" t="s">
        <v>2531</v>
      </c>
      <c r="G4" s="160" t="str">
        <f ca="1">HYPERLINK("#" &amp; CELL("address", Concepts!$A$145), "2-letter ISO 3166 country code")</f>
        <v>2-letter ISO 3166 country code</v>
      </c>
      <c r="H4" s="49" t="s">
        <v>360</v>
      </c>
      <c r="I4" s="160" t="str">
        <f ca="1">HYPERLINK("#" &amp; CELL("address", Concepts!$A$146), "3-letter ISO 4217 currency code")</f>
        <v>3-letter ISO 4217 currency code</v>
      </c>
      <c r="J4" s="49" t="s">
        <v>362</v>
      </c>
      <c r="K4" s="148" t="str">
        <f ca="1">HYPERLINK("#" &amp; CELL("address", Concepts!$A$149), "Number of accounts")</f>
        <v>Number of accounts</v>
      </c>
      <c r="L4" s="49" t="s">
        <v>389</v>
      </c>
    </row>
    <row r="5" spans="1:20" ht="14.25" customHeight="1" x14ac:dyDescent="0.2">
      <c r="A5" s="175" t="str">
        <f ca="1">HYPERLINK("#" &amp; CELL("address", Concepts!$A$166), "E-money card")</f>
        <v>E-money card</v>
      </c>
      <c r="B5" s="49" t="s">
        <v>917</v>
      </c>
      <c r="C5" s="160" t="str">
        <f ca="1">HYPERLINK("#" &amp; CELL("address", Concepts!$A$207), "Inactive within last 12 months")</f>
        <v>Inactive within last 12 months</v>
      </c>
      <c r="D5" s="49" t="s">
        <v>1043</v>
      </c>
      <c r="E5" s="160" t="s">
        <v>2533</v>
      </c>
      <c r="F5" s="49" t="s">
        <v>2530</v>
      </c>
      <c r="K5" s="148" t="str">
        <f ca="1">HYPERLINK("#" &amp; CELL("address", Concepts!$A$189), "Float (balance)")</f>
        <v>Float (balance)</v>
      </c>
      <c r="L5" s="49" t="s">
        <v>812</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5" tint="0.59999389629810485"/>
  </sheetPr>
  <dimension ref="A1:H38"/>
  <sheetViews>
    <sheetView workbookViewId="0"/>
  </sheetViews>
  <sheetFormatPr defaultRowHeight="14.25" x14ac:dyDescent="0.2"/>
  <cols>
    <col min="1" max="1" width="46.5" customWidth="1"/>
    <col min="2" max="2" width="11.625" customWidth="1"/>
    <col min="3" max="3" width="30.375" customWidth="1"/>
    <col min="4" max="4" width="11.625" customWidth="1"/>
    <col min="5" max="5" width="35.875" customWidth="1"/>
    <col min="7" max="7" width="17.625" bestFit="1" customWidth="1"/>
  </cols>
  <sheetData>
    <row r="1" spans="1:8" x14ac:dyDescent="0.2">
      <c r="A1" s="36" t="str">
        <f ca="1">HYPERLINK("#" &amp; CELL("address",INDEX!$A$1), "Go back to INDEX")</f>
        <v>Go back to INDEX</v>
      </c>
      <c r="B1" s="36"/>
      <c r="C1" s="36"/>
      <c r="D1" s="36"/>
    </row>
    <row r="2" spans="1:8" ht="20.25" x14ac:dyDescent="0.2">
      <c r="A2" s="34" t="s">
        <v>1450</v>
      </c>
      <c r="B2" s="34"/>
      <c r="C2" s="34"/>
      <c r="D2" s="34"/>
    </row>
    <row r="3" spans="1:8" ht="15.75" customHeight="1" x14ac:dyDescent="0.2">
      <c r="A3" s="51" t="s">
        <v>878</v>
      </c>
      <c r="B3" s="51"/>
      <c r="C3" s="51" t="s">
        <v>877</v>
      </c>
      <c r="D3" s="51"/>
      <c r="E3" s="51" t="s">
        <v>933</v>
      </c>
      <c r="F3" s="51"/>
      <c r="G3" s="51" t="s">
        <v>744</v>
      </c>
      <c r="H3" s="51"/>
    </row>
    <row r="4" spans="1:8" ht="15" x14ac:dyDescent="0.2">
      <c r="A4" s="148" t="str">
        <f ca="1">HYPERLINK("#" &amp; CELL("address", Concepts!$A$209), "Account information service provider (AISP)")</f>
        <v>Account information service provider (AISP)</v>
      </c>
      <c r="B4" s="49" t="s">
        <v>879</v>
      </c>
      <c r="C4" s="86" t="s">
        <v>934</v>
      </c>
      <c r="D4" s="49"/>
      <c r="E4" s="86" t="s">
        <v>934</v>
      </c>
      <c r="F4" s="49"/>
      <c r="G4" s="148" t="str">
        <f ca="1">HYPERLINK("#" &amp; CELL("address", Concepts!$A$149), "Number of accounts")</f>
        <v>Number of accounts</v>
      </c>
      <c r="H4" s="49" t="s">
        <v>389</v>
      </c>
    </row>
    <row r="5" spans="1:8" ht="15" x14ac:dyDescent="0.2">
      <c r="A5" s="148" t="str">
        <f ca="1">HYPERLINK("#" &amp; CELL("address", Concepts!$A$210), "Account servicing payment service provider (ASPSP)")</f>
        <v>Account servicing payment service provider (ASPSP)</v>
      </c>
      <c r="B5" s="49" t="s">
        <v>875</v>
      </c>
      <c r="C5" s="73" t="s">
        <v>773</v>
      </c>
      <c r="D5" s="49" t="s">
        <v>772</v>
      </c>
      <c r="E5" s="148" t="str">
        <f ca="1">HYPERLINK("#" &amp; CELL("address", Concepts!$A$145), "2-letter ISO 3166 country code")</f>
        <v>2-letter ISO 3166 country code</v>
      </c>
      <c r="F5" s="49" t="s">
        <v>360</v>
      </c>
    </row>
    <row r="6" spans="1:8" ht="15" x14ac:dyDescent="0.2">
      <c r="C6" s="86" t="s">
        <v>935</v>
      </c>
      <c r="D6" s="49"/>
      <c r="E6" s="86" t="s">
        <v>935</v>
      </c>
      <c r="F6" s="49"/>
    </row>
    <row r="7" spans="1:8" ht="15" x14ac:dyDescent="0.2">
      <c r="C7" s="148" t="str">
        <f ca="1">HYPERLINK("#" &amp; CELL("address", Concepts!$A$145), "2-letter ISO 3166 country code")</f>
        <v>2-letter ISO 3166 country code</v>
      </c>
      <c r="D7" s="49" t="s">
        <v>360</v>
      </c>
      <c r="E7" s="73" t="s">
        <v>773</v>
      </c>
      <c r="F7" s="49" t="s">
        <v>772</v>
      </c>
    </row>
    <row r="20" spans="1:4" ht="15" x14ac:dyDescent="0.2">
      <c r="A20" s="37" t="s">
        <v>476</v>
      </c>
      <c r="B20" s="37"/>
      <c r="C20" s="37"/>
      <c r="D20" s="37"/>
    </row>
    <row r="21" spans="1:4" ht="15" x14ac:dyDescent="0.2">
      <c r="A21" s="37" t="s">
        <v>882</v>
      </c>
      <c r="B21" s="37"/>
      <c r="C21" s="37"/>
      <c r="D21" s="37"/>
    </row>
    <row r="22" spans="1:4" ht="15" x14ac:dyDescent="0.2">
      <c r="A22" s="55" t="s">
        <v>883</v>
      </c>
      <c r="B22" s="37"/>
      <c r="C22" s="37"/>
      <c r="D22" s="37"/>
    </row>
    <row r="23" spans="1:4" ht="15" x14ac:dyDescent="0.2">
      <c r="A23" s="55" t="s">
        <v>893</v>
      </c>
      <c r="B23" s="37"/>
      <c r="C23" s="37"/>
      <c r="D23" s="37"/>
    </row>
    <row r="24" spans="1:4" x14ac:dyDescent="0.2">
      <c r="A24" s="55" t="s">
        <v>884</v>
      </c>
      <c r="B24" s="55"/>
      <c r="C24" s="55"/>
      <c r="D24" s="55"/>
    </row>
    <row r="25" spans="1:4" x14ac:dyDescent="0.2">
      <c r="A25" t="s">
        <v>894</v>
      </c>
    </row>
    <row r="26" spans="1:4" x14ac:dyDescent="0.2">
      <c r="A26" t="s">
        <v>885</v>
      </c>
    </row>
    <row r="27" spans="1:4" x14ac:dyDescent="0.2">
      <c r="A27" t="s">
        <v>797</v>
      </c>
    </row>
    <row r="28" spans="1:4" x14ac:dyDescent="0.2">
      <c r="A28" t="s">
        <v>2629</v>
      </c>
    </row>
    <row r="29" spans="1:4" x14ac:dyDescent="0.2">
      <c r="A29" t="s">
        <v>2630</v>
      </c>
    </row>
    <row r="31" spans="1:4" ht="20.25" x14ac:dyDescent="0.2">
      <c r="A31" s="34" t="s">
        <v>936</v>
      </c>
    </row>
    <row r="32" spans="1:4" ht="15.75" x14ac:dyDescent="0.2">
      <c r="A32" s="191" t="s">
        <v>2376</v>
      </c>
    </row>
    <row r="33" spans="1:8" ht="15.75" customHeight="1" x14ac:dyDescent="0.2">
      <c r="A33" s="51" t="s">
        <v>878</v>
      </c>
      <c r="B33" s="51"/>
      <c r="C33" s="51" t="s">
        <v>877</v>
      </c>
      <c r="D33" s="51"/>
      <c r="E33" s="51" t="s">
        <v>933</v>
      </c>
      <c r="F33" s="51"/>
      <c r="G33" s="51" t="s">
        <v>744</v>
      </c>
      <c r="H33" s="51"/>
    </row>
    <row r="34" spans="1:8" x14ac:dyDescent="0.2">
      <c r="A34" s="160" t="str">
        <f ca="1">HYPERLINK("#" &amp; CELL("address", Concepts!$A$210), "Account servicing payment service provider (ASPSP)")</f>
        <v>Account servicing payment service provider (ASPSP)</v>
      </c>
      <c r="C34" t="s">
        <v>772</v>
      </c>
      <c r="E34" t="s">
        <v>1833</v>
      </c>
    </row>
    <row r="36" spans="1:8" ht="15.75" x14ac:dyDescent="0.2">
      <c r="A36" s="191" t="s">
        <v>2377</v>
      </c>
    </row>
    <row r="37" spans="1:8" ht="15.75" customHeight="1" x14ac:dyDescent="0.2">
      <c r="A37" s="51" t="s">
        <v>878</v>
      </c>
      <c r="B37" s="51"/>
      <c r="C37" s="51" t="s">
        <v>877</v>
      </c>
      <c r="D37" s="51"/>
      <c r="E37" s="51" t="s">
        <v>933</v>
      </c>
      <c r="F37" s="51"/>
      <c r="G37" s="51" t="s">
        <v>744</v>
      </c>
      <c r="H37" s="51"/>
    </row>
    <row r="38" spans="1:8" x14ac:dyDescent="0.2">
      <c r="A38" s="160" t="str">
        <f ca="1">HYPERLINK("#" &amp; CELL("address", Concepts!$A$209), "Account information service provider (AISP)")</f>
        <v>Account information service provider (AISP)</v>
      </c>
      <c r="C38" t="s">
        <v>1834</v>
      </c>
      <c r="E38" t="s">
        <v>772</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5" tint="0.59999389629810485"/>
  </sheetPr>
  <dimension ref="A1:F16"/>
  <sheetViews>
    <sheetView workbookViewId="0"/>
  </sheetViews>
  <sheetFormatPr defaultRowHeight="14.25" x14ac:dyDescent="0.2"/>
  <cols>
    <col min="1" max="1" width="46.5" customWidth="1"/>
    <col min="2" max="2" width="8.5" customWidth="1"/>
    <col min="3" max="3" width="30.125" customWidth="1"/>
    <col min="4" max="4" width="6.75" bestFit="1" customWidth="1"/>
    <col min="5" max="5" width="18.875" customWidth="1"/>
    <col min="6" max="6" width="13.125" customWidth="1"/>
  </cols>
  <sheetData>
    <row r="1" spans="1:6" x14ac:dyDescent="0.2">
      <c r="A1" s="36" t="str">
        <f ca="1">HYPERLINK("#" &amp; CELL("address",INDEX!$A$1), "Go back to INDEX")</f>
        <v>Go back to INDEX</v>
      </c>
      <c r="B1" s="36"/>
      <c r="C1" s="36"/>
      <c r="D1" s="36"/>
      <c r="E1" s="36"/>
    </row>
    <row r="2" spans="1:6" ht="20.25" x14ac:dyDescent="0.2">
      <c r="A2" s="34" t="s">
        <v>1449</v>
      </c>
      <c r="B2" s="34"/>
      <c r="C2" s="34"/>
      <c r="D2" s="34"/>
      <c r="E2" s="34"/>
    </row>
    <row r="3" spans="1:6" ht="15.75" customHeight="1" x14ac:dyDescent="0.2">
      <c r="A3" s="51" t="s">
        <v>878</v>
      </c>
      <c r="B3" s="51"/>
      <c r="C3" s="51" t="s">
        <v>1094</v>
      </c>
      <c r="D3" s="51"/>
      <c r="E3" s="51" t="s">
        <v>744</v>
      </c>
      <c r="F3" s="51"/>
    </row>
    <row r="4" spans="1:6" ht="15" x14ac:dyDescent="0.2">
      <c r="A4" s="148" t="str">
        <f ca="1">HYPERLINK("#" &amp; CELL("address", Concepts!$A$209), "Account information service provider (AISP)")</f>
        <v>Account information service provider (AISP)</v>
      </c>
      <c r="B4" s="49" t="s">
        <v>879</v>
      </c>
      <c r="C4" s="148" t="str">
        <f ca="1">HYPERLINK("#" &amp; CELL("address", Concepts!$A$145), "2-letter ISO 3166 country code")</f>
        <v>2-letter ISO 3166 country code</v>
      </c>
      <c r="D4" s="49" t="s">
        <v>360</v>
      </c>
      <c r="E4" s="148" t="str">
        <f ca="1">HYPERLINK("#" &amp; CELL("address", Concepts!$A$150), "Number of customers")</f>
        <v>Number of customers</v>
      </c>
      <c r="F4" s="49" t="s">
        <v>389</v>
      </c>
    </row>
    <row r="10" spans="1:6" ht="15" x14ac:dyDescent="0.2">
      <c r="D10" s="37"/>
      <c r="E10" s="37"/>
    </row>
    <row r="15" spans="1:6" ht="15" x14ac:dyDescent="0.2">
      <c r="A15" s="37" t="s">
        <v>476</v>
      </c>
    </row>
    <row r="16" spans="1:6" x14ac:dyDescent="0.2">
      <c r="A16" t="s">
        <v>1806</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59999389629810485"/>
  </sheetPr>
  <dimension ref="A1:H28"/>
  <sheetViews>
    <sheetView workbookViewId="0"/>
  </sheetViews>
  <sheetFormatPr defaultRowHeight="14.25" x14ac:dyDescent="0.2"/>
  <cols>
    <col min="1" max="1" width="66.5" customWidth="1"/>
    <col min="2" max="2" width="8.75" customWidth="1"/>
    <col min="3" max="3" width="34.125" customWidth="1"/>
    <col min="4" max="4" width="8.75" customWidth="1"/>
    <col min="5" max="5" width="25.625" bestFit="1" customWidth="1"/>
    <col min="6" max="6" width="10.5" customWidth="1"/>
    <col min="7" max="7" width="15.125" customWidth="1"/>
  </cols>
  <sheetData>
    <row r="1" spans="1:8" x14ac:dyDescent="0.2">
      <c r="A1" s="36" t="str">
        <f ca="1">HYPERLINK("#" &amp; CELL("address",INDEX!$A$1), "Go back to INDEX")</f>
        <v>Go back to INDEX</v>
      </c>
      <c r="B1" s="36"/>
      <c r="C1" s="36"/>
      <c r="D1" s="36"/>
    </row>
    <row r="2" spans="1:8" ht="20.25" x14ac:dyDescent="0.2">
      <c r="A2" s="34" t="s">
        <v>1532</v>
      </c>
      <c r="B2" s="34"/>
      <c r="C2" s="34"/>
      <c r="D2" s="34"/>
    </row>
    <row r="3" spans="1:8" ht="15" x14ac:dyDescent="0.2">
      <c r="A3" s="51" t="s">
        <v>752</v>
      </c>
      <c r="B3" s="51"/>
      <c r="C3" s="51" t="s">
        <v>906</v>
      </c>
      <c r="D3" s="51"/>
      <c r="E3" s="51" t="s">
        <v>654</v>
      </c>
      <c r="F3" s="51"/>
      <c r="G3" s="51" t="s">
        <v>744</v>
      </c>
      <c r="H3" s="51"/>
    </row>
    <row r="4" spans="1:8" ht="15" x14ac:dyDescent="0.2">
      <c r="A4" s="148" t="str">
        <f ca="1">HYPERLINK("#" &amp; CELL("address", Concepts!$A$214), "Customer credit transfers sent (debtor's PSP)")</f>
        <v>Customer credit transfers sent (debtor's PSP)</v>
      </c>
      <c r="B4" s="49" t="s">
        <v>1080</v>
      </c>
      <c r="C4" s="135" t="s">
        <v>735</v>
      </c>
      <c r="D4" s="136"/>
      <c r="E4" s="148" t="str">
        <f ca="1">HYPERLINK("#" &amp; CELL("address", Concepts!$A$211), "The reporting PSP")</f>
        <v>The reporting PSP</v>
      </c>
      <c r="F4" s="49" t="s">
        <v>765</v>
      </c>
      <c r="G4" s="148" t="str">
        <f ca="1">HYPERLINK("#" &amp; CELL("address", Concepts!$A$220), "Value")</f>
        <v>Value</v>
      </c>
      <c r="H4" s="49" t="s">
        <v>390</v>
      </c>
    </row>
    <row r="5" spans="1:8" ht="15" x14ac:dyDescent="0.2">
      <c r="A5" s="148" t="str">
        <f ca="1">HYPERLINK("#" &amp; CELL("address", Concepts!$A$215), "Direct debits (creditor's PSP)")</f>
        <v>Direct debits (creditor's PSP)</v>
      </c>
      <c r="B5" s="49" t="s">
        <v>1079</v>
      </c>
      <c r="C5" s="145" t="str">
        <f ca="1">HYPERLINK("#" &amp; CELL("address", Concepts!$A$7), "╠═ Credit institution")</f>
        <v>╠═ Credit institution</v>
      </c>
      <c r="D5" s="76" t="s">
        <v>356</v>
      </c>
      <c r="E5" s="148" t="str">
        <f ca="1">HYPERLINK("#" &amp; CELL("address", Concepts!$A$212), "The PSU of the reporting PSP")</f>
        <v>The PSU of the reporting PSP</v>
      </c>
      <c r="F5" s="49" t="s">
        <v>766</v>
      </c>
    </row>
    <row r="6" spans="1:8" ht="28.5" customHeight="1" x14ac:dyDescent="0.2">
      <c r="A6" s="170" t="str">
        <f ca="1">HYPERLINK("#" &amp; CELL("address", Concepts!$A$216), "Card-based payment transactions with card-based payment instruments issued by resident PSP (except cards with an e-money function only)")</f>
        <v>Card-based payment transactions with card-based payment instruments issued by resident PSP (except cards with an e-money function only)</v>
      </c>
      <c r="B6" s="49" t="s">
        <v>1050</v>
      </c>
      <c r="C6" s="145" t="str">
        <f ca="1">HYPERLINK("#" &amp; CELL("address", Concepts!$A$8), "╠═ Monetary fund")</f>
        <v>╠═ Monetary fund</v>
      </c>
      <c r="D6" s="76" t="s">
        <v>357</v>
      </c>
      <c r="E6" s="148" t="str">
        <f ca="1">HYPERLINK("#" &amp; CELL("address", Concepts!$A$213), "Other")</f>
        <v>Other</v>
      </c>
      <c r="F6" s="49" t="s">
        <v>364</v>
      </c>
    </row>
    <row r="7" spans="1:8" ht="28.5" customHeight="1" x14ac:dyDescent="0.2">
      <c r="A7" s="170" t="str">
        <f ca="1">HYPERLINK("#" &amp; CELL("address", Concepts!$A$217), "Card-based payment transactions acquired by resident PSPs (except cards with an e-money function only)")</f>
        <v>Card-based payment transactions acquired by resident PSPs (except cards with an e-money function only)</v>
      </c>
      <c r="B7" s="49" t="s">
        <v>763</v>
      </c>
      <c r="C7" s="146" t="str">
        <f ca="1">HYPERLINK("#" &amp; CELL("address", Concepts!$A$9), "╠═ Electronic money institution ")</f>
        <v xml:space="preserve">╠═ Electronic money institution </v>
      </c>
      <c r="D7" s="76" t="s">
        <v>475</v>
      </c>
    </row>
    <row r="8" spans="1:8" ht="15" x14ac:dyDescent="0.2">
      <c r="A8" s="148" t="str">
        <f ca="1">HYPERLINK("#" &amp; CELL("address", Concepts!$A$218), "E-money payment transactions (debtor's PSP)")</f>
        <v>E-money payment transactions (debtor's PSP)</v>
      </c>
      <c r="B8" s="49" t="s">
        <v>1081</v>
      </c>
      <c r="C8" s="147" t="str">
        <f ca="1">HYPERLINK("#" &amp; CELL("address", Concepts!$A$13), "╠═ Payment institution")</f>
        <v>╠═ Payment institution</v>
      </c>
      <c r="D8" s="76" t="s">
        <v>1015</v>
      </c>
    </row>
    <row r="9" spans="1:8" ht="15" x14ac:dyDescent="0.2">
      <c r="A9" s="148" t="str">
        <f ca="1">HYPERLINK("#" &amp; CELL("address", Concepts!$A$219), "Cash withdrawals using cards issued by resident PSP (debtor's PSP)")</f>
        <v>Cash withdrawals using cards issued by resident PSP (debtor's PSP)</v>
      </c>
      <c r="B9" s="49" t="s">
        <v>768</v>
      </c>
      <c r="C9" s="145" t="str">
        <f ca="1">HYPERLINK("#" &amp; CELL("address", Concepts!$A$10), "╚═ Other MFI")</f>
        <v>╚═ Other MFI</v>
      </c>
      <c r="D9" s="76" t="s">
        <v>470</v>
      </c>
    </row>
    <row r="10" spans="1:8" ht="15" x14ac:dyDescent="0.2">
      <c r="C10" s="154" t="str">
        <f ca="1">HYPERLINK("#" &amp; CELL("address", Concepts!$A$11), "Non-MFIs:")</f>
        <v>Non-MFIs:</v>
      </c>
      <c r="D10" s="76"/>
    </row>
    <row r="11" spans="1:8" ht="15" x14ac:dyDescent="0.2">
      <c r="C11" s="145" t="str">
        <f ca="1">HYPERLINK("#" &amp; CELL("address", Concepts!$A$12), "╠═ Non-monetary fund")</f>
        <v>╠═ Non-monetary fund</v>
      </c>
      <c r="D11" s="76" t="s">
        <v>352</v>
      </c>
    </row>
    <row r="12" spans="1:8" ht="15" x14ac:dyDescent="0.2">
      <c r="C12" s="147" t="str">
        <f ca="1">HYPERLINK("#" &amp; CELL("address", Concepts!$A$14), "╠═ Households and NPISHs")</f>
        <v>╠═ Households and NPISHs</v>
      </c>
      <c r="D12" s="76" t="s">
        <v>738</v>
      </c>
    </row>
    <row r="13" spans="1:8" ht="15" x14ac:dyDescent="0.2">
      <c r="C13" s="147" t="str">
        <f ca="1">HYPERLINK("#" &amp; CELL("address", Concepts!$A$15), "╠═ Non-financial corporations")</f>
        <v>╠═ Non-financial corporations</v>
      </c>
      <c r="D13" s="76" t="s">
        <v>739</v>
      </c>
    </row>
    <row r="14" spans="1:8" ht="15" x14ac:dyDescent="0.2">
      <c r="C14" s="147" t="str">
        <f ca="1">HYPERLINK("#" &amp; CELL("address", Concepts!$A$16), "╚═ Other non-MFI")</f>
        <v>╚═ Other non-MFI</v>
      </c>
      <c r="D14" s="76" t="s">
        <v>472</v>
      </c>
    </row>
    <row r="15" spans="1:8" ht="15" x14ac:dyDescent="0.2">
      <c r="C15" s="148" t="str">
        <f ca="1">HYPERLINK("#" &amp; CELL("address", Concepts!$A$17), "Own account operation")</f>
        <v>Own account operation</v>
      </c>
      <c r="D15" s="76" t="s">
        <v>474</v>
      </c>
    </row>
    <row r="16" spans="1:8" ht="15" x14ac:dyDescent="0.2">
      <c r="C16" s="145" t="str">
        <f ca="1">HYPERLINK("#" &amp; CELL("address", Concepts!$A$18), "Unknown")</f>
        <v>Unknown</v>
      </c>
      <c r="D16" s="76" t="s">
        <v>350</v>
      </c>
    </row>
    <row r="17" spans="1:8" ht="15" x14ac:dyDescent="0.2">
      <c r="C17" s="159"/>
      <c r="D17" s="35"/>
    </row>
    <row r="18" spans="1:8" ht="15" x14ac:dyDescent="0.2">
      <c r="A18" s="37" t="s">
        <v>1780</v>
      </c>
    </row>
    <row r="19" spans="1:8" x14ac:dyDescent="0.2">
      <c r="A19" t="s">
        <v>1781</v>
      </c>
    </row>
    <row r="21" spans="1:8" ht="20.25" x14ac:dyDescent="0.2">
      <c r="A21" s="34" t="s">
        <v>936</v>
      </c>
    </row>
    <row r="22" spans="1:8" ht="15.75" x14ac:dyDescent="0.2">
      <c r="A22" s="190" t="s">
        <v>2378</v>
      </c>
    </row>
    <row r="23" spans="1:8" ht="15" x14ac:dyDescent="0.2">
      <c r="A23" s="51" t="s">
        <v>752</v>
      </c>
      <c r="B23" s="51"/>
      <c r="C23" s="51" t="s">
        <v>906</v>
      </c>
      <c r="D23" s="51"/>
      <c r="E23" s="51" t="s">
        <v>654</v>
      </c>
      <c r="F23" s="51"/>
      <c r="G23" s="51" t="s">
        <v>744</v>
      </c>
      <c r="H23" s="51"/>
    </row>
    <row r="24" spans="1:8" ht="28.5" x14ac:dyDescent="0.2">
      <c r="A24" s="166" t="str">
        <f ca="1">HYPERLINK("#" &amp; CELL("address", Concepts!$A$216), "Card-based payment transactions with card-based payment instruments issued by resident PSP (except cards with an e-money function only)")</f>
        <v>Card-based payment transactions with card-based payment instruments issued by resident PSP (except cards with an e-money function only)</v>
      </c>
      <c r="E24" t="s">
        <v>746</v>
      </c>
    </row>
    <row r="26" spans="1:8" ht="15.75" x14ac:dyDescent="0.2">
      <c r="A26" s="190" t="s">
        <v>2379</v>
      </c>
    </row>
    <row r="27" spans="1:8" ht="15" x14ac:dyDescent="0.2">
      <c r="A27" s="51" t="s">
        <v>752</v>
      </c>
      <c r="B27" s="51"/>
      <c r="C27" s="51" t="s">
        <v>906</v>
      </c>
      <c r="D27" s="51"/>
      <c r="E27" s="51" t="s">
        <v>654</v>
      </c>
      <c r="F27" s="51"/>
      <c r="G27" s="51" t="s">
        <v>744</v>
      </c>
      <c r="H27" s="51"/>
    </row>
    <row r="28" spans="1:8" x14ac:dyDescent="0.2">
      <c r="A28" s="166" t="str">
        <f ca="1">HYPERLINK("#" &amp; CELL("address", Concepts!$A$219), "Cash withdrawals using cards issued by resident PSP (debtor's PSP)")</f>
        <v>Cash withdrawals using cards issued by resident PSP (debtor's PSP)</v>
      </c>
      <c r="E28" t="s">
        <v>747</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G1331"/>
  <sheetViews>
    <sheetView workbookViewId="0"/>
  </sheetViews>
  <sheetFormatPr defaultRowHeight="15" x14ac:dyDescent="0.2"/>
  <cols>
    <col min="1" max="1" width="12" customWidth="1"/>
    <col min="2" max="2" width="29.75" bestFit="1" customWidth="1"/>
    <col min="3" max="3" width="11.5" customWidth="1"/>
    <col min="4" max="4" width="35.375" customWidth="1"/>
    <col min="5" max="5" width="62.5" customWidth="1"/>
    <col min="6" max="6" width="14.875" style="49" customWidth="1"/>
    <col min="7" max="7" width="19.5" bestFit="1" customWidth="1"/>
  </cols>
  <sheetData>
    <row r="1" spans="1:7" ht="30" x14ac:dyDescent="0.2">
      <c r="A1" s="133" t="s">
        <v>1160</v>
      </c>
      <c r="B1" s="134" t="s">
        <v>725</v>
      </c>
      <c r="C1" s="134" t="s">
        <v>1474</v>
      </c>
      <c r="D1" s="134" t="s">
        <v>1104</v>
      </c>
      <c r="E1" s="134" t="s">
        <v>1475</v>
      </c>
      <c r="F1" s="134" t="s">
        <v>1105</v>
      </c>
      <c r="G1" s="134" t="s">
        <v>1547</v>
      </c>
    </row>
    <row r="2" spans="1:7" x14ac:dyDescent="0.2">
      <c r="A2">
        <v>1</v>
      </c>
      <c r="B2" t="s">
        <v>1533</v>
      </c>
      <c r="C2" s="53" t="str">
        <f ca="1">HYPERLINK("#" &amp; CELL("address", 'V1.20+V1.20-F'!$A$2), "V1.20")</f>
        <v>V1.20</v>
      </c>
      <c r="D2" s="53" t="str">
        <f ca="1">HYPERLINK("#" &amp; CELL("address", 'V1.20+V1.20-F'!$A$3), "Customer category")</f>
        <v>Customer category</v>
      </c>
      <c r="E2" s="53" t="str">
        <f ca="1">HYPERLINK("#" &amp; CELL("address", 'V1.20+V1.20-F'!$A$5), "Credit institution")</f>
        <v>Credit institution</v>
      </c>
      <c r="F2" s="49" t="str">
        <f>'V1.20+V1.20-F'!$B$5</f>
        <v>CRIN</v>
      </c>
      <c r="G2" s="53" t="str">
        <f ca="1">HYPERLINK("#" &amp; CELL("address", Concepts!$A$7), "Click here for definition")</f>
        <v>Click here for definition</v>
      </c>
    </row>
    <row r="3" spans="1:7" x14ac:dyDescent="0.2">
      <c r="A3">
        <v>2</v>
      </c>
      <c r="B3" t="s">
        <v>1533</v>
      </c>
      <c r="C3" s="53" t="str">
        <f ca="1">HYPERLINK("#" &amp; CELL("address", 'V1.20+V1.20-F'!$A$2), "V1.20")</f>
        <v>V1.20</v>
      </c>
      <c r="D3" s="53" t="str">
        <f ca="1">HYPERLINK("#" &amp; CELL("address", 'V1.20+V1.20-F'!$A$3), "Customer category")</f>
        <v>Customer category</v>
      </c>
      <c r="E3" s="53" t="str">
        <f ca="1">HYPERLINK("#" &amp; CELL("address", 'V1.20+V1.20-F'!$A$6), "Monetary fund")</f>
        <v>Monetary fund</v>
      </c>
      <c r="F3" s="49" t="str">
        <f>'V1.20+V1.20-F'!$B$6</f>
        <v>MOFU</v>
      </c>
      <c r="G3" s="53" t="str">
        <f ca="1">HYPERLINK("#" &amp; CELL("address", Concepts!$A$8), "Click here for definition")</f>
        <v>Click here for definition</v>
      </c>
    </row>
    <row r="4" spans="1:7" x14ac:dyDescent="0.2">
      <c r="A4">
        <v>3</v>
      </c>
      <c r="B4" t="s">
        <v>1533</v>
      </c>
      <c r="C4" s="53" t="str">
        <f ca="1">HYPERLINK("#" &amp; CELL("address", 'V1.20+V1.20-F'!$A$2), "V1.20")</f>
        <v>V1.20</v>
      </c>
      <c r="D4" s="53" t="str">
        <f ca="1">HYPERLINK("#" &amp; CELL("address", 'V1.20+V1.20-F'!$A$3), "Customer category")</f>
        <v>Customer category</v>
      </c>
      <c r="E4" s="53" t="str">
        <f ca="1">HYPERLINK("#" &amp; CELL("address", 'V1.20+V1.20-F'!$A$7), "Electronic money institution")</f>
        <v>Electronic money institution</v>
      </c>
      <c r="F4" s="49" t="str">
        <f>'V1.20+V1.20-F'!$B$7</f>
        <v>ELMI</v>
      </c>
      <c r="G4" s="53" t="str">
        <f ca="1">HYPERLINK("#" &amp; CELL("address", Concepts!$A$9), "Click here for definition")</f>
        <v>Click here for definition</v>
      </c>
    </row>
    <row r="5" spans="1:7" x14ac:dyDescent="0.2">
      <c r="A5">
        <v>4</v>
      </c>
      <c r="B5" t="s">
        <v>1533</v>
      </c>
      <c r="C5" s="53" t="str">
        <f ca="1">HYPERLINK("#" &amp; CELL("address", 'V1.20+V1.20-F'!$A$2), "V1.20")</f>
        <v>V1.20</v>
      </c>
      <c r="D5" s="53" t="str">
        <f ca="1">HYPERLINK("#" &amp; CELL("address", 'V1.20+V1.20-F'!$A$3), "Customer category")</f>
        <v>Customer category</v>
      </c>
      <c r="E5" s="53" t="str">
        <f ca="1">HYPERLINK("#" &amp; CELL("address", 'V1.20+V1.20-F'!$A$8), "Payment institution")</f>
        <v>Payment institution</v>
      </c>
      <c r="F5" s="49" t="str">
        <f>'V1.20+V1.20-F'!$B$8</f>
        <v>PMIN</v>
      </c>
      <c r="G5" s="53" t="str">
        <f ca="1">HYPERLINK("#" &amp; CELL("address", Concepts!$A$13), "Click here for definition")</f>
        <v>Click here for definition</v>
      </c>
    </row>
    <row r="6" spans="1:7" x14ac:dyDescent="0.2">
      <c r="A6">
        <v>5</v>
      </c>
      <c r="B6" t="s">
        <v>1533</v>
      </c>
      <c r="C6" s="53" t="str">
        <f ca="1">HYPERLINK("#" &amp; CELL("address", 'V1.20+V1.20-F'!$A$2), "V1.20")</f>
        <v>V1.20</v>
      </c>
      <c r="D6" s="53" t="str">
        <f ca="1">HYPERLINK("#" &amp; CELL("address", 'V1.20+V1.20-F'!$A$3), "Customer category")</f>
        <v>Customer category</v>
      </c>
      <c r="E6" s="53" t="str">
        <f ca="1">HYPERLINK("#" &amp; CELL("address", 'V1.20+V1.20-F'!$A$9), "Other MFI")</f>
        <v>Other MFI</v>
      </c>
      <c r="F6" s="49" t="str">
        <f>'V1.20+V1.20-F'!$B$9</f>
        <v>OMFI</v>
      </c>
      <c r="G6" s="53" t="str">
        <f ca="1">HYPERLINK("#" &amp; CELL("address", Concepts!$A$10), "Click here for definition")</f>
        <v>Click here for definition</v>
      </c>
    </row>
    <row r="7" spans="1:7" x14ac:dyDescent="0.2">
      <c r="A7">
        <v>6</v>
      </c>
      <c r="B7" t="s">
        <v>1533</v>
      </c>
      <c r="C7" s="53" t="str">
        <f ca="1">HYPERLINK("#" &amp; CELL("address", 'V1.20+V1.20-F'!$A$2), "V1.20")</f>
        <v>V1.20</v>
      </c>
      <c r="D7" s="53" t="str">
        <f ca="1">HYPERLINK("#" &amp; CELL("address", 'V1.20+V1.20-F'!$A$3), "Customer category")</f>
        <v>Customer category</v>
      </c>
      <c r="E7" s="53" t="str">
        <f ca="1">HYPERLINK("#" &amp; CELL("address", 'V1.20+V1.20-F'!$A$11), "Non-monetary fund")</f>
        <v>Non-monetary fund</v>
      </c>
      <c r="F7" s="49" t="str">
        <f>'V1.20+V1.20-F'!$B$11</f>
        <v>NMFU</v>
      </c>
      <c r="G7" s="53" t="str">
        <f ca="1">HYPERLINK("#" &amp; CELL("address", Concepts!$A$12), "Click here for definition")</f>
        <v>Click here for definition</v>
      </c>
    </row>
    <row r="8" spans="1:7" x14ac:dyDescent="0.2">
      <c r="A8">
        <v>7</v>
      </c>
      <c r="B8" t="s">
        <v>1533</v>
      </c>
      <c r="C8" s="53" t="str">
        <f ca="1">HYPERLINK("#" &amp; CELL("address", 'V1.20+V1.20-F'!$A$2), "V1.20")</f>
        <v>V1.20</v>
      </c>
      <c r="D8" s="53" t="str">
        <f ca="1">HYPERLINK("#" &amp; CELL("address", 'V1.20+V1.20-F'!$A$3), "Customer category")</f>
        <v>Customer category</v>
      </c>
      <c r="E8" s="53" t="str">
        <f ca="1">HYPERLINK("#" &amp; CELL("address", 'V1.20+V1.20-F'!$A$12), "Households and NPISHs")</f>
        <v>Households and NPISHs</v>
      </c>
      <c r="F8" s="49" t="str">
        <f>'V1.20+V1.20-F'!$B$12</f>
        <v>HSNP</v>
      </c>
      <c r="G8" s="53" t="str">
        <f ca="1">HYPERLINK("#" &amp; CELL("address", Concepts!$A$14), "Click here for definition")</f>
        <v>Click here for definition</v>
      </c>
    </row>
    <row r="9" spans="1:7" x14ac:dyDescent="0.2">
      <c r="A9">
        <v>8</v>
      </c>
      <c r="B9" t="s">
        <v>1533</v>
      </c>
      <c r="C9" s="53" t="str">
        <f ca="1">HYPERLINK("#" &amp; CELL("address", 'V1.20+V1.20-F'!$A$2), "V1.20")</f>
        <v>V1.20</v>
      </c>
      <c r="D9" s="53" t="str">
        <f ca="1">HYPERLINK("#" &amp; CELL("address", 'V1.20+V1.20-F'!$A$3), "Customer category")</f>
        <v>Customer category</v>
      </c>
      <c r="E9" s="53" t="str">
        <f ca="1">HYPERLINK("#" &amp; CELL("address", 'V1.20+V1.20-F'!$A$13), "Non-financial corporations")</f>
        <v>Non-financial corporations</v>
      </c>
      <c r="F9" s="49" t="str">
        <f>'V1.20+V1.20-F'!$B$13</f>
        <v>CORP</v>
      </c>
      <c r="G9" s="53" t="str">
        <f ca="1">HYPERLINK("#" &amp; CELL("address", Concepts!$A$15), "Click here for definition")</f>
        <v>Click here for definition</v>
      </c>
    </row>
    <row r="10" spans="1:7" x14ac:dyDescent="0.2">
      <c r="A10">
        <v>9</v>
      </c>
      <c r="B10" t="s">
        <v>1533</v>
      </c>
      <c r="C10" s="53" t="str">
        <f ca="1">HYPERLINK("#" &amp; CELL("address", 'V1.20+V1.20-F'!$A$2), "V1.20")</f>
        <v>V1.20</v>
      </c>
      <c r="D10" s="53" t="str">
        <f ca="1">HYPERLINK("#" &amp; CELL("address", 'V1.20+V1.20-F'!$A$3), "Customer category")</f>
        <v>Customer category</v>
      </c>
      <c r="E10" s="53" t="str">
        <f ca="1">HYPERLINK("#" &amp; CELL("address", 'V1.20+V1.20-F'!$A$14), "Other non-MFI")</f>
        <v>Other non-MFI</v>
      </c>
      <c r="F10" s="49" t="str">
        <f>'V1.20+V1.20-F'!$B$14</f>
        <v>ONMF</v>
      </c>
      <c r="G10" s="53" t="str">
        <f ca="1">HYPERLINK("#" &amp; CELL("address", Concepts!$A$16), "Click here for definition")</f>
        <v>Click here for definition</v>
      </c>
    </row>
    <row r="11" spans="1:7" x14ac:dyDescent="0.2">
      <c r="A11">
        <v>10</v>
      </c>
      <c r="B11" t="s">
        <v>1533</v>
      </c>
      <c r="C11" s="53" t="str">
        <f ca="1">HYPERLINK("#" &amp; CELL("address", 'V1.20+V1.20-F'!$A$2), "V1.20")</f>
        <v>V1.20</v>
      </c>
      <c r="D11" s="53" t="str">
        <f ca="1">HYPERLINK("#" &amp; CELL("address", 'V1.20+V1.20-F'!$A$3), "Customer category")</f>
        <v>Customer category</v>
      </c>
      <c r="E11" s="53" t="str">
        <f ca="1">HYPERLINK("#" &amp; CELL("address", 'V1.20+V1.20-F'!$A$15), "Own account operation")</f>
        <v>Own account operation</v>
      </c>
      <c r="F11" s="49" t="str">
        <f>'V1.20+V1.20-F'!$B$15</f>
        <v>OWNA</v>
      </c>
      <c r="G11" s="53" t="str">
        <f ca="1">HYPERLINK("#" &amp; CELL("address", Concepts!$A$17), "Click here for definition")</f>
        <v>Click here for definition</v>
      </c>
    </row>
    <row r="12" spans="1:7" x14ac:dyDescent="0.2">
      <c r="A12">
        <v>11</v>
      </c>
      <c r="B12" t="s">
        <v>1533</v>
      </c>
      <c r="C12" s="53" t="str">
        <f ca="1">HYPERLINK("#" &amp; CELL("address", 'V1.20+V1.20-F'!$A$2), "V1.20")</f>
        <v>V1.20</v>
      </c>
      <c r="D12" s="53" t="str">
        <f ca="1">HYPERLINK("#" &amp; CELL("address", 'V1.20+V1.20-F'!$A$3), "Customer category")</f>
        <v>Customer category</v>
      </c>
      <c r="E12" s="53" t="str">
        <f ca="1">HYPERLINK("#" &amp; CELL("address", 'V1.20+V1.20-F'!$A$16), "Unknown")</f>
        <v>Unknown</v>
      </c>
      <c r="F12" s="49" t="str">
        <f>'V1.20+V1.20-F'!$B$16</f>
        <v>UNKN</v>
      </c>
      <c r="G12" s="53" t="str">
        <f ca="1">HYPERLINK("#" &amp; CELL("address", Concepts!$A$18), "Click here for definition")</f>
        <v>Click here for definition</v>
      </c>
    </row>
    <row r="13" spans="1:7" x14ac:dyDescent="0.2">
      <c r="A13">
        <v>12</v>
      </c>
      <c r="B13" t="s">
        <v>1533</v>
      </c>
      <c r="C13" s="53" t="str">
        <f ca="1">HYPERLINK("#" &amp; CELL("address", 'V1.20+V1.20-F'!$A$2), "V1.20")</f>
        <v>V1.20</v>
      </c>
      <c r="D13" s="53" t="str">
        <f ca="1">HYPERLINK("#" &amp; CELL("address", 'V1.20+V1.20-F'!$C$3), "Settlement channel")</f>
        <v>Settlement channel</v>
      </c>
      <c r="E13" s="53" t="str">
        <f ca="1">HYPERLINK("#" &amp; CELL("address", 'V1.20+V1.20-F'!$C$5), "T2 RTGS")</f>
        <v>T2 RTGS</v>
      </c>
      <c r="F13" s="49" t="str">
        <f>'V1.20+V1.20-F'!$D$5</f>
        <v>TAR2</v>
      </c>
      <c r="G13" s="53"/>
    </row>
    <row r="14" spans="1:7" x14ac:dyDescent="0.2">
      <c r="A14">
        <v>13</v>
      </c>
      <c r="B14" t="s">
        <v>1533</v>
      </c>
      <c r="C14" s="53" t="str">
        <f ca="1">HYPERLINK("#" &amp; CELL("address", 'V1.20+V1.20-F'!$A$2), "V1.20")</f>
        <v>V1.20</v>
      </c>
      <c r="D14" s="53" t="str">
        <f ca="1">HYPERLINK("#" &amp; CELL("address", 'V1.20+V1.20-F'!$C$3), "Settlement channel")</f>
        <v>Settlement channel</v>
      </c>
      <c r="E14" s="53" t="str">
        <f ca="1">HYPERLINK("#" &amp; CELL("address", 'V1.20+V1.20-F'!$C$6), "Euro1")</f>
        <v>Euro1</v>
      </c>
      <c r="F14" s="49" t="str">
        <f>'V1.20+V1.20-F'!$D$6</f>
        <v>EUR1</v>
      </c>
      <c r="G14" s="53"/>
    </row>
    <row r="15" spans="1:7" x14ac:dyDescent="0.2">
      <c r="A15">
        <v>14</v>
      </c>
      <c r="B15" t="s">
        <v>1533</v>
      </c>
      <c r="C15" s="53" t="str">
        <f ca="1">HYPERLINK("#" &amp; CELL("address", 'V1.20+V1.20-F'!$A$2), "V1.20")</f>
        <v>V1.20</v>
      </c>
      <c r="D15" s="53" t="str">
        <f ca="1">HYPERLINK("#" &amp; CELL("address", 'V1.20+V1.20-F'!$C$3), "Settlement channel")</f>
        <v>Settlement channel</v>
      </c>
      <c r="E15" s="53" t="str">
        <f ca="1">HYPERLINK("#" &amp; CELL("address", 'V1.20+V1.20-F'!$C$7), "Step1")</f>
        <v>Step1</v>
      </c>
      <c r="F15" s="49" t="str">
        <f>'V1.20+V1.20-F'!$D$7</f>
        <v>STE1</v>
      </c>
      <c r="G15" s="53"/>
    </row>
    <row r="16" spans="1:7" x14ac:dyDescent="0.2">
      <c r="A16">
        <v>15</v>
      </c>
      <c r="B16" t="s">
        <v>1533</v>
      </c>
      <c r="C16" s="53" t="str">
        <f ca="1">HYPERLINK("#" &amp; CELL("address", 'V1.20+V1.20-F'!$A$2), "V1.20")</f>
        <v>V1.20</v>
      </c>
      <c r="D16" s="53" t="str">
        <f ca="1">HYPERLINK("#" &amp; CELL("address", 'V1.20+V1.20-F'!$C$3), "Settlement channel")</f>
        <v>Settlement channel</v>
      </c>
      <c r="E16" s="53" t="str">
        <f ca="1">HYPERLINK("#" &amp; CELL("address", 'V1.20+V1.20-F'!$C$8), "Step2")</f>
        <v>Step2</v>
      </c>
      <c r="F16" s="49" t="str">
        <f>'V1.20+V1.20-F'!$D$8</f>
        <v>STE2</v>
      </c>
      <c r="G16" s="53"/>
    </row>
    <row r="17" spans="1:7" x14ac:dyDescent="0.2">
      <c r="A17">
        <v>16</v>
      </c>
      <c r="B17" t="s">
        <v>1533</v>
      </c>
      <c r="C17" s="53" t="str">
        <f ca="1">HYPERLINK("#" &amp; CELL("address", 'V1.20+V1.20-F'!$A$2), "V1.20")</f>
        <v>V1.20</v>
      </c>
      <c r="D17" s="53" t="str">
        <f ca="1">HYPERLINK("#" &amp; CELL("address", 'V1.20+V1.20-F'!$C$3), "Settlement channel")</f>
        <v>Settlement channel</v>
      </c>
      <c r="E17" s="53" t="str">
        <f ca="1">HYPERLINK("#" &amp; CELL("address", 'V1.20+V1.20-F'!$C$9), "Equens")</f>
        <v>Equens</v>
      </c>
      <c r="F17" s="49" t="str">
        <f>'V1.20+V1.20-F'!$D$9</f>
        <v>EQUE</v>
      </c>
      <c r="G17" s="53"/>
    </row>
    <row r="18" spans="1:7" x14ac:dyDescent="0.2">
      <c r="A18">
        <v>17</v>
      </c>
      <c r="B18" t="s">
        <v>1533</v>
      </c>
      <c r="C18" s="53" t="str">
        <f ca="1">HYPERLINK("#" &amp; CELL("address", 'V1.20+V1.20-F'!$A$2), "V1.20")</f>
        <v>V1.20</v>
      </c>
      <c r="D18" s="53" t="str">
        <f ca="1">HYPERLINK("#" &amp; CELL("address", 'V1.20+V1.20-F'!$C$3), "Settlement channel")</f>
        <v>Settlement channel</v>
      </c>
      <c r="E18" s="53" t="str">
        <f ca="1">HYPERLINK("#" &amp; CELL("address", 'V1.20+V1.20-F'!$C$11), "TIPS")</f>
        <v>TIPS</v>
      </c>
      <c r="F18" s="49" t="str">
        <f>'V1.20+V1.20-F'!$D$11</f>
        <v>TIPS</v>
      </c>
      <c r="G18" s="53"/>
    </row>
    <row r="19" spans="1:7" x14ac:dyDescent="0.2">
      <c r="A19">
        <v>18</v>
      </c>
      <c r="B19" t="s">
        <v>1533</v>
      </c>
      <c r="C19" s="53" t="str">
        <f ca="1">HYPERLINK("#" &amp; CELL("address", 'V1.20+V1.20-F'!$A$2), "V1.20")</f>
        <v>V1.20</v>
      </c>
      <c r="D19" s="53" t="str">
        <f ca="1">HYPERLINK("#" &amp; CELL("address", 'V1.20+V1.20-F'!$C$3), "Settlement channel")</f>
        <v>Settlement channel</v>
      </c>
      <c r="E19" s="53" t="str">
        <f ca="1">HYPERLINK("#" &amp; CELL("address", 'V1.20+V1.20-F'!$C$12), "RT1")</f>
        <v>RT1</v>
      </c>
      <c r="F19" s="49" t="str">
        <f>'V1.20+V1.20-F'!$D$12</f>
        <v>ERT1</v>
      </c>
      <c r="G19" s="53"/>
    </row>
    <row r="20" spans="1:7" x14ac:dyDescent="0.2">
      <c r="A20">
        <v>19</v>
      </c>
      <c r="B20" t="s">
        <v>1533</v>
      </c>
      <c r="C20" s="53" t="str">
        <f ca="1">HYPERLINK("#" &amp; CELL("address", 'V1.20+V1.20-F'!$A$2), "V1.20")</f>
        <v>V1.20</v>
      </c>
      <c r="D20" s="53" t="str">
        <f ca="1">HYPERLINK("#" &amp; CELL("address", 'V1.20+V1.20-F'!$C$3), "Settlement channel")</f>
        <v>Settlement channel</v>
      </c>
      <c r="E20" s="53" t="str">
        <f ca="1">HYPERLINK("#" &amp; CELL("address", 'V1.20+V1.20-F'!$C$13), "Other instant")</f>
        <v>Other instant</v>
      </c>
      <c r="F20" s="49" t="str">
        <f>'V1.20+V1.20-F'!$D$13</f>
        <v>OTHI</v>
      </c>
      <c r="G20" s="53" t="str">
        <f ca="1">HYPERLINK("#" &amp; CELL("address", Concepts!$A$19), "Click here for definition")</f>
        <v>Click here for definition</v>
      </c>
    </row>
    <row r="21" spans="1:7" x14ac:dyDescent="0.2">
      <c r="A21">
        <v>20</v>
      </c>
      <c r="B21" t="s">
        <v>1533</v>
      </c>
      <c r="C21" s="53" t="str">
        <f ca="1">HYPERLINK("#" &amp; CELL("address", 'V1.20+V1.20-F'!$A$2), "V1.20")</f>
        <v>V1.20</v>
      </c>
      <c r="D21" s="53" t="str">
        <f ca="1">HYPERLINK("#" &amp; CELL("address", 'V1.20+V1.20-F'!$C$3), "Settlement channel")</f>
        <v>Settlement channel</v>
      </c>
      <c r="E21" s="53" t="str">
        <f ca="1">HYPERLINK("#" &amp; CELL("address", 'V1.20+V1.20-F'!$C$14), "On-us")</f>
        <v>On-us</v>
      </c>
      <c r="F21" s="49" t="str">
        <f>'V1.20+V1.20-F'!$D$14</f>
        <v>ONUS</v>
      </c>
      <c r="G21" s="53" t="str">
        <f ca="1">HYPERLINK("#" &amp; CELL("address", Concepts!$A$20), "Click here for definition")</f>
        <v>Click here for definition</v>
      </c>
    </row>
    <row r="22" spans="1:7" x14ac:dyDescent="0.2">
      <c r="A22">
        <v>21</v>
      </c>
      <c r="B22" t="s">
        <v>1533</v>
      </c>
      <c r="C22" s="53" t="str">
        <f ca="1">HYPERLINK("#" &amp; CELL("address", 'V1.20+V1.20-F'!$A$2), "V1.20")</f>
        <v>V1.20</v>
      </c>
      <c r="D22" s="53" t="str">
        <f ca="1">HYPERLINK("#" &amp; CELL("address", 'V1.20+V1.20-F'!$C$3), "Settlement channel")</f>
        <v>Settlement channel</v>
      </c>
      <c r="E22" s="53" t="str">
        <f ca="1">HYPERLINK("#" &amp; CELL("address", 'V1.20+V1.20-F'!$C$15), "PSP LU")</f>
        <v>PSP LU</v>
      </c>
      <c r="F22" s="49" t="str">
        <f>'V1.20+V1.20-F'!$D$15</f>
        <v>PSPL</v>
      </c>
      <c r="G22" s="53" t="str">
        <f ca="1">HYPERLINK("#" &amp; CELL("address", Concepts!$A$23), "Click here for definition")</f>
        <v>Click here for definition</v>
      </c>
    </row>
    <row r="23" spans="1:7" x14ac:dyDescent="0.2">
      <c r="A23">
        <v>22</v>
      </c>
      <c r="B23" t="s">
        <v>1533</v>
      </c>
      <c r="C23" s="53" t="str">
        <f ca="1">HYPERLINK("#" &amp; CELL("address", 'V1.20+V1.20-F'!$A$2), "V1.20")</f>
        <v>V1.20</v>
      </c>
      <c r="D23" s="53" t="str">
        <f ca="1">HYPERLINK("#" &amp; CELL("address", 'V1.20+V1.20-F'!$C$3), "Settlement channel")</f>
        <v>Settlement channel</v>
      </c>
      <c r="E23" s="53" t="str">
        <f ca="1">HYPERLINK("#" &amp; CELL("address", 'V1.20+V1.20-F'!$C$16), "PSP non-LU")</f>
        <v>PSP non-LU</v>
      </c>
      <c r="F23" s="49" t="str">
        <f>'V1.20+V1.20-F'!$D$16</f>
        <v>PSPN</v>
      </c>
      <c r="G23" s="53" t="str">
        <f ca="1">HYPERLINK("#" &amp; CELL("address", Concepts!$A$24), "Click here for definition")</f>
        <v>Click here for definition</v>
      </c>
    </row>
    <row r="24" spans="1:7" x14ac:dyDescent="0.2">
      <c r="A24">
        <v>23</v>
      </c>
      <c r="B24" t="s">
        <v>1533</v>
      </c>
      <c r="C24" s="53" t="str">
        <f ca="1">HYPERLINK("#" &amp; CELL("address", 'V1.20+V1.20-F'!$A$2), "V1.20")</f>
        <v>V1.20</v>
      </c>
      <c r="D24" s="53" t="str">
        <f ca="1">HYPERLINK("#" &amp; CELL("address", 'V1.20+V1.20-F'!$C$3), "Settlement channel")</f>
        <v>Settlement channel</v>
      </c>
      <c r="E24" s="53" t="str">
        <f ca="1">HYPERLINK("#" &amp; CELL("address", 'V1.20+V1.20-F'!$C$17), "Other")</f>
        <v>Other</v>
      </c>
      <c r="F24" s="49" t="str">
        <f>'V1.20+V1.20-F'!$D$17</f>
        <v>OTHR</v>
      </c>
      <c r="G24" s="53" t="str">
        <f ca="1">HYPERLINK("#" &amp; CELL("address", Concepts!$A$25), "Click here for definition")</f>
        <v>Click here for definition</v>
      </c>
    </row>
    <row r="25" spans="1:7" x14ac:dyDescent="0.2">
      <c r="A25">
        <v>24</v>
      </c>
      <c r="B25" t="s">
        <v>1533</v>
      </c>
      <c r="C25" s="53" t="str">
        <f ca="1">HYPERLINK("#" &amp; CELL("address", 'V1.20+V1.20-F'!$A$2), "V1.20")</f>
        <v>V1.20</v>
      </c>
      <c r="D25" s="53" t="str">
        <f ca="1">HYPERLINK("#" &amp; CELL("address", 'V1.20+V1.20-F'!$E$3), "Payment scheme")</f>
        <v>Payment scheme</v>
      </c>
      <c r="E25" s="53" t="str">
        <f ca="1">HYPERLINK("#" &amp; CELL("address", 'V1.20+V1.20-F'!$E$4), "SEPA credit transfer")</f>
        <v>SEPA credit transfer</v>
      </c>
      <c r="F25" s="49" t="str">
        <f>'V1.20+V1.20-F'!$F$4</f>
        <v>SEPA</v>
      </c>
      <c r="G25" s="53" t="str">
        <f ca="1">HYPERLINK("#" &amp; CELL("address", Concepts!$A$26), "Click here for definition")</f>
        <v>Click here for definition</v>
      </c>
    </row>
    <row r="26" spans="1:7" x14ac:dyDescent="0.2">
      <c r="A26">
        <v>25</v>
      </c>
      <c r="B26" t="s">
        <v>1533</v>
      </c>
      <c r="C26" s="53" t="str">
        <f ca="1">HYPERLINK("#" &amp; CELL("address", 'V1.20+V1.20-F'!$A$2), "V1.20")</f>
        <v>V1.20</v>
      </c>
      <c r="D26" s="53" t="str">
        <f ca="1">HYPERLINK("#" &amp; CELL("address", 'V1.20+V1.20-F'!$E$3), "Payment scheme")</f>
        <v>Payment scheme</v>
      </c>
      <c r="E26" s="53" t="str">
        <f ca="1">HYPERLINK("#" &amp; CELL("address", 'V1.20+V1.20-F'!$E$5), "SEPA Instant Credit Transfer")</f>
        <v>SEPA Instant Credit Transfer</v>
      </c>
      <c r="F26" s="49" t="str">
        <f>'V1.20+V1.20-F'!$F$5</f>
        <v>SCTI</v>
      </c>
      <c r="G26" s="53" t="str">
        <f ca="1">HYPERLINK("#" &amp; CELL("address", Concepts!$A$27), "Click here for definition")</f>
        <v>Click here for definition</v>
      </c>
    </row>
    <row r="27" spans="1:7" x14ac:dyDescent="0.2">
      <c r="A27">
        <v>26</v>
      </c>
      <c r="B27" t="s">
        <v>1533</v>
      </c>
      <c r="C27" s="53" t="str">
        <f ca="1">HYPERLINK("#" &amp; CELL("address", 'V1.20+V1.20-F'!$A$2), "V1.20")</f>
        <v>V1.20</v>
      </c>
      <c r="D27" s="53" t="str">
        <f ca="1">HYPERLINK("#" &amp; CELL("address", 'V1.20+V1.20-F'!$E$3), "Payment scheme")</f>
        <v>Payment scheme</v>
      </c>
      <c r="E27" s="53" t="str">
        <f ca="1">HYPERLINK("#" &amp; CELL("address", 'V1.20+V1.20-F'!$E$6), "Non-SEPA scheme")</f>
        <v>Non-SEPA scheme</v>
      </c>
      <c r="F27" s="49" t="str">
        <f>'V1.20+V1.20-F'!$F$6</f>
        <v>NSEP</v>
      </c>
      <c r="G27" s="53" t="str">
        <f ca="1">HYPERLINK("#" &amp; CELL("address", Concepts!$A$28), "Click here for definition")</f>
        <v>Click here for definition</v>
      </c>
    </row>
    <row r="28" spans="1:7" x14ac:dyDescent="0.2">
      <c r="A28">
        <v>27</v>
      </c>
      <c r="B28" t="s">
        <v>1533</v>
      </c>
      <c r="C28" s="53" t="str">
        <f ca="1">HYPERLINK("#" &amp; CELL("address", 'V1.20+V1.20-F'!$A$2), "V1.20")</f>
        <v>V1.20</v>
      </c>
      <c r="D28" s="53" t="str">
        <f ca="1">HYPERLINK("#" &amp; CELL("address", 'V1.20+V1.20-F'!$E$3), "Payment scheme")</f>
        <v>Payment scheme</v>
      </c>
      <c r="E28" s="53" t="str">
        <f ca="1">HYPERLINK("#" &amp; CELL("address", 'V1.20+V1.20-F'!$E$7), "Not applicable")</f>
        <v>Not applicable</v>
      </c>
      <c r="F28" s="49" t="str">
        <f>'V1.20+V1.20-F'!$F$7</f>
        <v>NOAP</v>
      </c>
      <c r="G28" s="53" t="str">
        <f ca="1">HYPERLINK("#" &amp; CELL("address", Concepts!$A$29), "Click here for definition")</f>
        <v>Click here for definition</v>
      </c>
    </row>
    <row r="29" spans="1:7" x14ac:dyDescent="0.2">
      <c r="A29">
        <v>28</v>
      </c>
      <c r="B29" t="s">
        <v>1533</v>
      </c>
      <c r="C29" s="53" t="str">
        <f ca="1">HYPERLINK("#" &amp; CELL("address", 'V1.20+V1.20-F'!$A$2), "V1.20")</f>
        <v>V1.20</v>
      </c>
      <c r="D29" s="53" t="str">
        <f ca="1">HYPERLINK("#" &amp; CELL("address", 'V1.20+V1.20-F'!$G$3), "Initiation channel")</f>
        <v>Initiation channel</v>
      </c>
      <c r="E29" s="53" t="str">
        <f ca="1">HYPERLINK("#" &amp; CELL("address", 'V1.20+V1.20-F'!$G$4), "Paper")</f>
        <v>Paper</v>
      </c>
      <c r="F29" s="49" t="str">
        <f>'V1.20+V1.20-F'!$H$4</f>
        <v>PAPR</v>
      </c>
      <c r="G29" s="53" t="str">
        <f ca="1">HYPERLINK("#" &amp; CELL("address", Concepts!$A$30), "Click here for definition")</f>
        <v>Click here for definition</v>
      </c>
    </row>
    <row r="30" spans="1:7" x14ac:dyDescent="0.2">
      <c r="A30">
        <v>29</v>
      </c>
      <c r="B30" t="s">
        <v>1533</v>
      </c>
      <c r="C30" s="53" t="str">
        <f ca="1">HYPERLINK("#" &amp; CELL("address", 'V1.20+V1.20-F'!$A$2), "V1.20")</f>
        <v>V1.20</v>
      </c>
      <c r="D30" s="53" t="str">
        <f ca="1">HYPERLINK("#" &amp; CELL("address", 'V1.20+V1.20-F'!$G$3), "Initiation channel")</f>
        <v>Initiation channel</v>
      </c>
      <c r="E30" s="53" t="str">
        <f ca="1">HYPERLINK("#" &amp; CELL("address", 'V1.20+V1.20-F'!$G$5), "Electronic file/batch")</f>
        <v>Electronic file/batch</v>
      </c>
      <c r="F30" s="49" t="str">
        <f>'V1.20+V1.20-F'!$H$5</f>
        <v>ELFB</v>
      </c>
      <c r="G30" s="53" t="str">
        <f ca="1">HYPERLINK("#" &amp; CELL("address", Concepts!$A$32), "Click here for definition")</f>
        <v>Click here for definition</v>
      </c>
    </row>
    <row r="31" spans="1:7" x14ac:dyDescent="0.2">
      <c r="A31">
        <v>30</v>
      </c>
      <c r="B31" t="s">
        <v>1533</v>
      </c>
      <c r="C31" s="53" t="str">
        <f ca="1">HYPERLINK("#" &amp; CELL("address", 'V1.20+V1.20-F'!$A$2), "V1.20")</f>
        <v>V1.20</v>
      </c>
      <c r="D31" s="53" t="str">
        <f ca="1">HYPERLINK("#" &amp; CELL("address", 'V1.20+V1.20-F'!$G$3), "Initiation channel")</f>
        <v>Initiation channel</v>
      </c>
      <c r="E31" s="53" t="str">
        <f ca="1">HYPERLINK("#" &amp; CELL("address", 'V1.20+V1.20-F'!$G$8), "E-commerce payment")</f>
        <v>E-commerce payment</v>
      </c>
      <c r="F31" s="49" t="str">
        <f>'V1.20+V1.20-F'!$H$8</f>
        <v>ECOM</v>
      </c>
      <c r="G31" s="53" t="str">
        <f ca="1">HYPERLINK("#" &amp; CELL("address", Concepts!$A$34), "Click here for definition")</f>
        <v>Click here for definition</v>
      </c>
    </row>
    <row r="32" spans="1:7" x14ac:dyDescent="0.2">
      <c r="A32">
        <v>31</v>
      </c>
      <c r="B32" t="s">
        <v>1533</v>
      </c>
      <c r="C32" s="53" t="str">
        <f ca="1">HYPERLINK("#" &amp; CELL("address", 'V1.20+V1.20-F'!$A$2), "V1.20")</f>
        <v>V1.20</v>
      </c>
      <c r="D32" s="53" t="str">
        <f ca="1">HYPERLINK("#" &amp; CELL("address", 'V1.20+V1.20-F'!$G$3), "Initiation channel")</f>
        <v>Initiation channel</v>
      </c>
      <c r="E32" s="53" t="str">
        <f ca="1">HYPERLINK("#" &amp; CELL("address", 'V1.20+V1.20-F'!$G$9), "Web banking payment")</f>
        <v>Web banking payment</v>
      </c>
      <c r="F32" s="49" t="str">
        <f>'V1.20+V1.20-F'!$H$9</f>
        <v>WEBB</v>
      </c>
      <c r="G32" s="53" t="str">
        <f ca="1">HYPERLINK("#" &amp; CELL("address", Concepts!$A$35), "Click here for definition")</f>
        <v>Click here for definition</v>
      </c>
    </row>
    <row r="33" spans="1:7" x14ac:dyDescent="0.2">
      <c r="A33">
        <v>32</v>
      </c>
      <c r="B33" t="s">
        <v>1533</v>
      </c>
      <c r="C33" s="53" t="str">
        <f ca="1">HYPERLINK("#" &amp; CELL("address", 'V1.20+V1.20-F'!$A$2), "V1.20")</f>
        <v>V1.20</v>
      </c>
      <c r="D33" s="53" t="str">
        <f ca="1">HYPERLINK("#" &amp; CELL("address", 'V1.20+V1.20-F'!$G$3), "Initiation channel")</f>
        <v>Initiation channel</v>
      </c>
      <c r="E33" s="53" t="str">
        <f ca="1">HYPERLINK("#" &amp; CELL("address", 'V1.20+V1.20-F'!$G$10), "ATM or other PSP terminal")</f>
        <v>ATM or other PSP terminal</v>
      </c>
      <c r="F33" s="49" t="str">
        <f>'V1.20+V1.20-F'!$H$10</f>
        <v>PSPT</v>
      </c>
      <c r="G33" s="53" t="str">
        <f ca="1">HYPERLINK("#" &amp; CELL("address", Concepts!$A$36), "Click here for definition")</f>
        <v>Click here for definition</v>
      </c>
    </row>
    <row r="34" spans="1:7" x14ac:dyDescent="0.2">
      <c r="A34">
        <v>33</v>
      </c>
      <c r="B34" t="s">
        <v>1533</v>
      </c>
      <c r="C34" s="53" t="str">
        <f ca="1">HYPERLINK("#" &amp; CELL("address", 'V1.20+V1.20-F'!$A$2), "V1.20")</f>
        <v>V1.20</v>
      </c>
      <c r="D34" s="53" t="str">
        <f ca="1">HYPERLINK("#" &amp; CELL("address", 'V1.20+V1.20-F'!$G$3), "Initiation channel")</f>
        <v>Initiation channel</v>
      </c>
      <c r="E34" s="53" t="str">
        <f ca="1">HYPERLINK("#" &amp; CELL("address", 'V1.20+V1.20-F'!$G$12), "P2P MPS")</f>
        <v>P2P MPS</v>
      </c>
      <c r="F34" s="49" t="str">
        <f>'V1.20+V1.20-F'!$H$12</f>
        <v>P2PM</v>
      </c>
      <c r="G34" s="53" t="str">
        <f ca="1">HYPERLINK("#" &amp; CELL("address", Concepts!$A$40), "Click here for definition")</f>
        <v>Click here for definition</v>
      </c>
    </row>
    <row r="35" spans="1:7" x14ac:dyDescent="0.2">
      <c r="A35">
        <v>34</v>
      </c>
      <c r="B35" t="s">
        <v>1533</v>
      </c>
      <c r="C35" s="53" t="str">
        <f ca="1">HYPERLINK("#" &amp; CELL("address", 'V1.20+V1.20-F'!$A$2), "V1.20")</f>
        <v>V1.20</v>
      </c>
      <c r="D35" s="53" t="str">
        <f ca="1">HYPERLINK("#" &amp; CELL("address", 'V1.20+V1.20-F'!$G$3), "Initiation channel")</f>
        <v>Initiation channel</v>
      </c>
      <c r="E35" s="53" t="str">
        <f ca="1">HYPERLINK("#" &amp; CELL("address", 'V1.20+V1.20-F'!$G$13), "Other MPS")</f>
        <v>Other MPS</v>
      </c>
      <c r="F35" s="49" t="str">
        <f>'V1.20+V1.20-F'!$H$13</f>
        <v>OMPS</v>
      </c>
      <c r="G35" s="53" t="str">
        <f ca="1">HYPERLINK("#" &amp; CELL("address", Concepts!$A$41), "Click here for definition")</f>
        <v>Click here for definition</v>
      </c>
    </row>
    <row r="36" spans="1:7" x14ac:dyDescent="0.2">
      <c r="A36">
        <v>35</v>
      </c>
      <c r="B36" t="s">
        <v>1533</v>
      </c>
      <c r="C36" s="53" t="str">
        <f ca="1">HYPERLINK("#" &amp; CELL("address", 'V1.20+V1.20-F'!$A$2), "V1.20")</f>
        <v>V1.20</v>
      </c>
      <c r="D36" s="53" t="str">
        <f ca="1">HYPERLINK("#" &amp; CELL("address", 'V1.20+V1.20-F'!$G$3), "Initiation channel")</f>
        <v>Initiation channel</v>
      </c>
      <c r="E36" s="53" t="str">
        <f ca="1">HYPERLINK("#" &amp; CELL("address", 'V1.20+V1.20-F'!$G$14), "Other electronic single")</f>
        <v>Other electronic single</v>
      </c>
      <c r="F36" s="49" t="str">
        <f>'V1.20+V1.20-F'!$H$14</f>
        <v>ELOT</v>
      </c>
      <c r="G36" s="53" t="str">
        <f ca="1">HYPERLINK("#" &amp; CELL("address", Concepts!$A$37), "Click here for definition")</f>
        <v>Click here for definition</v>
      </c>
    </row>
    <row r="37" spans="1:7" x14ac:dyDescent="0.2">
      <c r="A37">
        <v>36</v>
      </c>
      <c r="B37" t="s">
        <v>1533</v>
      </c>
      <c r="C37" s="53" t="str">
        <f ca="1">HYPERLINK("#" &amp; CELL("address", 'V1.20+V1.20-F'!$A$2), "V1.20")</f>
        <v>V1.20</v>
      </c>
      <c r="D37" s="53" t="str">
        <f ca="1">HYPERLINK("#" &amp; CELL("address", 'V1.20+V1.20-F'!$G$3), "Initiation channel")</f>
        <v>Initiation channel</v>
      </c>
      <c r="E37" s="53" t="str">
        <f ca="1">HYPERLINK("#" &amp; CELL("address", 'V1.20+V1.20-F'!$G$15), "Other non-electronic")</f>
        <v>Other non-electronic</v>
      </c>
      <c r="F37" s="49" t="str">
        <f>'V1.20+V1.20-F'!$H$15</f>
        <v>OTHR</v>
      </c>
      <c r="G37" s="53" t="str">
        <f ca="1">HYPERLINK("#" &amp; CELL("address", Concepts!$A$42), "Click here for definition")</f>
        <v>Click here for definition</v>
      </c>
    </row>
    <row r="38" spans="1:7" x14ac:dyDescent="0.2">
      <c r="A38">
        <v>37</v>
      </c>
      <c r="B38" t="s">
        <v>1533</v>
      </c>
      <c r="C38" s="53" t="str">
        <f ca="1">HYPERLINK("#" &amp; CELL("address", 'V1.20+V1.20-F'!$A$2), "V1.20")</f>
        <v>V1.20</v>
      </c>
      <c r="D38" s="53" t="str">
        <f ca="1">HYPERLINK("#" &amp; CELL("address", 'V1.20+V1.20-F'!$I$3), "Initiation sub-channel")</f>
        <v>Initiation sub-channel</v>
      </c>
      <c r="E38" s="53" t="str">
        <f ca="1">HYPERLINK("#" &amp; CELL("address", 'V1.20+V1.20-F'!$I$4), "Remote")</f>
        <v>Remote</v>
      </c>
      <c r="F38" s="49" t="str">
        <f>'V1.20+V1.20-F'!$J$4</f>
        <v>REM1</v>
      </c>
      <c r="G38" s="53" t="str">
        <f ca="1">HYPERLINK("#" &amp; CELL("address", Concepts!$A$43), "Click here for definition")</f>
        <v>Click here for definition</v>
      </c>
    </row>
    <row r="39" spans="1:7" x14ac:dyDescent="0.2">
      <c r="A39">
        <v>38</v>
      </c>
      <c r="B39" t="s">
        <v>1533</v>
      </c>
      <c r="C39" s="53" t="str">
        <f ca="1">HYPERLINK("#" &amp; CELL("address", 'V1.20+V1.20-F'!$A$2), "V1.20")</f>
        <v>V1.20</v>
      </c>
      <c r="D39" s="53" t="str">
        <f ca="1">HYPERLINK("#" &amp; CELL("address", 'V1.20+V1.20-F'!$I$3), "Initiation sub-channel")</f>
        <v>Initiation sub-channel</v>
      </c>
      <c r="E39" s="53" t="str">
        <f ca="1">HYPERLINK("#" &amp; CELL("address", 'V1.20+V1.20-F'!$I$5), "Non-remote")</f>
        <v>Non-remote</v>
      </c>
      <c r="F39" s="49" t="str">
        <f>'V1.20+V1.20-F'!$J$5</f>
        <v>REM0</v>
      </c>
      <c r="G39" s="53" t="str">
        <f ca="1">HYPERLINK("#" &amp; CELL("address", Concepts!$A$44), "Click here for definition")</f>
        <v>Click here for definition</v>
      </c>
    </row>
    <row r="40" spans="1:7" x14ac:dyDescent="0.2">
      <c r="A40">
        <v>39</v>
      </c>
      <c r="B40" t="s">
        <v>1533</v>
      </c>
      <c r="C40" s="53" t="str">
        <f ca="1">HYPERLINK("#" &amp; CELL("address", 'V1.20+V1.20-F'!$A$2), "V1.20")</f>
        <v>V1.20</v>
      </c>
      <c r="D40" s="53" t="str">
        <f ca="1">HYPERLINK("#" &amp; CELL("address", 'V1.20+V1.20-F'!$K$3), "Initiator type")</f>
        <v>Initiator type</v>
      </c>
      <c r="E40" s="53" t="str">
        <f ca="1">HYPERLINK("#" &amp; CELL("address", 'V1.20+V1.20-F'!$K$4), "Customer")</f>
        <v>Customer</v>
      </c>
      <c r="F40" s="49" t="str">
        <f>'V1.20+V1.20-F'!$L$4</f>
        <v>CUST</v>
      </c>
      <c r="G40" s="53" t="str">
        <f ca="1">HYPERLINK("#" &amp; CELL("address", Concepts!$A$45), "Click here for definition")</f>
        <v>Click here for definition</v>
      </c>
    </row>
    <row r="41" spans="1:7" x14ac:dyDescent="0.2">
      <c r="A41">
        <v>40</v>
      </c>
      <c r="B41" t="s">
        <v>1533</v>
      </c>
      <c r="C41" s="53" t="str">
        <f ca="1">HYPERLINK("#" &amp; CELL("address", 'V1.20+V1.20-F'!$A$2), "V1.20")</f>
        <v>V1.20</v>
      </c>
      <c r="D41" s="53" t="str">
        <f ca="1">HYPERLINK("#" &amp; CELL("address", 'V1.20+V1.20-F'!$K$3), "Initiator type")</f>
        <v>Initiator type</v>
      </c>
      <c r="E41" s="53" t="str">
        <f ca="1">HYPERLINK("#" &amp; CELL("address", 'V1.20+V1.20-F'!$K$5), "PISP")</f>
        <v>PISP</v>
      </c>
      <c r="F41" s="49" t="str">
        <f>'V1.20+V1.20-F'!$L$5</f>
        <v>PISP</v>
      </c>
      <c r="G41" s="53" t="str">
        <f ca="1">HYPERLINK("#" &amp; CELL("address", Concepts!$A$46), "Click here for definition")</f>
        <v>Click here for definition</v>
      </c>
    </row>
    <row r="42" spans="1:7" x14ac:dyDescent="0.2">
      <c r="A42">
        <v>41</v>
      </c>
      <c r="B42" t="s">
        <v>1533</v>
      </c>
      <c r="C42" s="53" t="str">
        <f ca="1">HYPERLINK("#" &amp; CELL("address", 'V1.20+V1.20-F'!$A$2), "V1.20")</f>
        <v>V1.20</v>
      </c>
      <c r="D42" s="53" t="str">
        <f ca="1">HYPERLINK("#" &amp; CELL("address", 'V1.20+V1.20-F'!$M$3), "SCA")</f>
        <v>SCA</v>
      </c>
      <c r="E42" s="53" t="str">
        <f ca="1">HYPERLINK("#" &amp; CELL("address", 'V1.20+V1.20-F'!$M$4), "SCA used")</f>
        <v>SCA used</v>
      </c>
      <c r="F42" s="49" t="str">
        <f>'V1.20+V1.20-F'!$N$4</f>
        <v>SCA1</v>
      </c>
      <c r="G42" s="53" t="str">
        <f ca="1">HYPERLINK("#" &amp; CELL("address", Concepts!$A$47), "Click here for definition")</f>
        <v>Click here for definition</v>
      </c>
    </row>
    <row r="43" spans="1:7" x14ac:dyDescent="0.2">
      <c r="A43">
        <v>42</v>
      </c>
      <c r="B43" t="s">
        <v>1533</v>
      </c>
      <c r="C43" s="53" t="str">
        <f ca="1">HYPERLINK("#" &amp; CELL("address", 'V1.20+V1.20-F'!$A$2), "V1.20")</f>
        <v>V1.20</v>
      </c>
      <c r="D43" s="53" t="str">
        <f ca="1">HYPERLINK("#" &amp; CELL("address", 'V1.20+V1.20-F'!$M$3), "SCA")</f>
        <v>SCA</v>
      </c>
      <c r="E43" s="53" t="str">
        <f ca="1">HYPERLINK("#" &amp; CELL("address", 'V1.20+V1.20-F'!$M$7), "Payment to self")</f>
        <v>Payment to self</v>
      </c>
      <c r="F43" s="49" t="str">
        <f>'V1.20+V1.20-F'!$N$7</f>
        <v>PSLF</v>
      </c>
      <c r="G43" s="53" t="str">
        <f ca="1">HYPERLINK("#" &amp; CELL("address", Concepts!$A$49), "Click here for definition")</f>
        <v>Click here for definition</v>
      </c>
    </row>
    <row r="44" spans="1:7" x14ac:dyDescent="0.2">
      <c r="A44">
        <v>43</v>
      </c>
      <c r="B44" t="s">
        <v>1533</v>
      </c>
      <c r="C44" s="53" t="str">
        <f ca="1">HYPERLINK("#" &amp; CELL("address", 'V1.20+V1.20-F'!$A$2), "V1.20")</f>
        <v>V1.20</v>
      </c>
      <c r="D44" s="53" t="str">
        <f ca="1">HYPERLINK("#" &amp; CELL("address", 'V1.20+V1.20-F'!$M$3), "SCA")</f>
        <v>SCA</v>
      </c>
      <c r="E44" s="53" t="str">
        <f ca="1">HYPERLINK("#" &amp; CELL("address", 'V1.20+V1.20-F'!$M$8), "Trusted beneficiaries")</f>
        <v>Trusted beneficiaries</v>
      </c>
      <c r="F44" s="49" t="str">
        <f>'V1.20+V1.20-F'!$N$8</f>
        <v>TRBN</v>
      </c>
      <c r="G44" s="53" t="str">
        <f ca="1">HYPERLINK("#" &amp; CELL("address", Concepts!$A$50), "Click here for definition")</f>
        <v>Click here for definition</v>
      </c>
    </row>
    <row r="45" spans="1:7" x14ac:dyDescent="0.2">
      <c r="A45">
        <v>44</v>
      </c>
      <c r="B45" t="s">
        <v>1533</v>
      </c>
      <c r="C45" s="53" t="str">
        <f ca="1">HYPERLINK("#" &amp; CELL("address", 'V1.20+V1.20-F'!$A$2), "V1.20")</f>
        <v>V1.20</v>
      </c>
      <c r="D45" s="53" t="str">
        <f ca="1">HYPERLINK("#" &amp; CELL("address", 'V1.20+V1.20-F'!$M$3), "SCA")</f>
        <v>SCA</v>
      </c>
      <c r="E45" s="53" t="str">
        <f ca="1">HYPERLINK("#" &amp; CELL("address", 'V1.20+V1.20-F'!$M$9), "Recurring transaction")</f>
        <v>Recurring transaction</v>
      </c>
      <c r="F45" s="49" t="str">
        <f>'V1.20+V1.20-F'!$N$9</f>
        <v>RETR</v>
      </c>
      <c r="G45" s="53" t="str">
        <f ca="1">HYPERLINK("#" &amp; CELL("address", Concepts!$A$51), "Click here for definition")</f>
        <v>Click here for definition</v>
      </c>
    </row>
    <row r="46" spans="1:7" x14ac:dyDescent="0.2">
      <c r="A46">
        <v>45</v>
      </c>
      <c r="B46" t="s">
        <v>1533</v>
      </c>
      <c r="C46" s="53" t="str">
        <f ca="1">HYPERLINK("#" &amp; CELL("address", 'V1.20+V1.20-F'!$A$2), "V1.20")</f>
        <v>V1.20</v>
      </c>
      <c r="D46" s="53" t="str">
        <f ca="1">HYPERLINK("#" &amp; CELL("address", 'V1.20+V1.20-F'!$M$3), "SCA")</f>
        <v>SCA</v>
      </c>
      <c r="E46" s="53" t="str">
        <f ca="1">HYPERLINK("#" &amp; CELL("address", 'V1.20+V1.20-F'!$M$11), "Contactless low value")</f>
        <v>Contactless low value</v>
      </c>
      <c r="F46" s="49" t="str">
        <f>'V1.20+V1.20-F'!$N$11</f>
        <v>CLOW</v>
      </c>
      <c r="G46" s="53" t="str">
        <f ca="1">HYPERLINK("#" &amp; CELL("address", Concepts!$A$52), "Click here for definition")</f>
        <v>Click here for definition</v>
      </c>
    </row>
    <row r="47" spans="1:7" x14ac:dyDescent="0.2">
      <c r="A47">
        <v>46</v>
      </c>
      <c r="B47" t="s">
        <v>1533</v>
      </c>
      <c r="C47" s="53" t="str">
        <f ca="1">HYPERLINK("#" &amp; CELL("address", 'V1.20+V1.20-F'!$A$2), "V1.20")</f>
        <v>V1.20</v>
      </c>
      <c r="D47" s="53" t="str">
        <f ca="1">HYPERLINK("#" &amp; CELL("address", 'V1.20+V1.20-F'!$M$3), "SCA")</f>
        <v>SCA</v>
      </c>
      <c r="E47" s="53" t="str">
        <f ca="1">HYPERLINK("#" &amp; CELL("address", 'V1.20+V1.20-F'!$M$12), "Unattended terminal for transport fares or parking fees")</f>
        <v>Unattended terminal for transport fares or parking fees</v>
      </c>
      <c r="F47" s="49" t="str">
        <f>'V1.20+V1.20-F'!$N$12</f>
        <v>UNTE</v>
      </c>
      <c r="G47" s="53" t="str">
        <f ca="1">HYPERLINK("#" &amp; CELL("address", Concepts!$A$53), "Click here for definition")</f>
        <v>Click here for definition</v>
      </c>
    </row>
    <row r="48" spans="1:7" x14ac:dyDescent="0.2">
      <c r="A48">
        <v>47</v>
      </c>
      <c r="B48" t="s">
        <v>1533</v>
      </c>
      <c r="C48" s="53" t="str">
        <f ca="1">HYPERLINK("#" &amp; CELL("address", 'V1.20+V1.20-F'!$A$2), "V1.20")</f>
        <v>V1.20</v>
      </c>
      <c r="D48" s="53" t="str">
        <f ca="1">HYPERLINK("#" &amp; CELL("address", 'V1.20+V1.20-F'!$M$3), "SCA")</f>
        <v>SCA</v>
      </c>
      <c r="E48" s="53" t="str">
        <f ca="1">HYPERLINK("#" &amp; CELL("address", 'V1.20+V1.20-F'!$M$14), "Low value")</f>
        <v>Low value</v>
      </c>
      <c r="F48" s="49" t="str">
        <f>'V1.20+V1.20-F'!$N$14</f>
        <v>RLOW</v>
      </c>
      <c r="G48" s="53" t="str">
        <f ca="1">HYPERLINK("#" &amp; CELL("address", Concepts!$A$54), "Click here for definition")</f>
        <v>Click here for definition</v>
      </c>
    </row>
    <row r="49" spans="1:7" x14ac:dyDescent="0.2">
      <c r="A49">
        <v>48</v>
      </c>
      <c r="B49" t="s">
        <v>1533</v>
      </c>
      <c r="C49" s="53" t="str">
        <f ca="1">HYPERLINK("#" &amp; CELL("address", 'V1.20+V1.20-F'!$A$2), "V1.20")</f>
        <v>V1.20</v>
      </c>
      <c r="D49" s="53" t="str">
        <f ca="1">HYPERLINK("#" &amp; CELL("address", 'V1.20+V1.20-F'!$M$3), "SCA")</f>
        <v>SCA</v>
      </c>
      <c r="E49" s="53" t="str">
        <f ca="1">HYPERLINK("#" &amp; CELL("address", 'V1.20+V1.20-F'!$M$15), "Secure corporate payment processes and protocols")</f>
        <v>Secure corporate payment processes and protocols</v>
      </c>
      <c r="F49" s="49" t="str">
        <f>'V1.20+V1.20-F'!$N$15</f>
        <v>SECO</v>
      </c>
      <c r="G49" s="53" t="str">
        <f ca="1">HYPERLINK("#" &amp; CELL("address", Concepts!$A$55), "Click here for definition")</f>
        <v>Click here for definition</v>
      </c>
    </row>
    <row r="50" spans="1:7" x14ac:dyDescent="0.2">
      <c r="A50">
        <v>49</v>
      </c>
      <c r="B50" t="s">
        <v>1533</v>
      </c>
      <c r="C50" s="53" t="str">
        <f ca="1">HYPERLINK("#" &amp; CELL("address", 'V1.20+V1.20-F'!$A$2), "V1.20")</f>
        <v>V1.20</v>
      </c>
      <c r="D50" s="53" t="str">
        <f ca="1">HYPERLINK("#" &amp; CELL("address", 'V1.20+V1.20-F'!$M$3), "SCA")</f>
        <v>SCA</v>
      </c>
      <c r="E50" s="53" t="str">
        <f ca="1">HYPERLINK("#" &amp; CELL("address", 'V1.20+V1.20-F'!$M$16), "Transaction risk analysis")</f>
        <v>Transaction risk analysis</v>
      </c>
      <c r="F50" s="49" t="str">
        <f>'V1.20+V1.20-F'!$N$16</f>
        <v>RTRA</v>
      </c>
      <c r="G50" s="53" t="str">
        <f ca="1">HYPERLINK("#" &amp; CELL("address", Concepts!$A$56), "Click here for definition")</f>
        <v>Click here for definition</v>
      </c>
    </row>
    <row r="51" spans="1:7" x14ac:dyDescent="0.2">
      <c r="A51">
        <v>50</v>
      </c>
      <c r="B51" t="s">
        <v>1533</v>
      </c>
      <c r="C51" s="53" t="str">
        <f ca="1">HYPERLINK("#" &amp; CELL("address", 'V1.20+V1.20-F'!$A$2), "V1.20")</f>
        <v>V1.20</v>
      </c>
      <c r="D51" s="53" t="str">
        <f ca="1">HYPERLINK("#" &amp; CELL("address", 'V1.20+V1.20-F'!$M$3), "SCA")</f>
        <v>SCA</v>
      </c>
      <c r="E51" s="53" t="str">
        <f ca="1">HYPERLINK("#" &amp; CELL("address", 'V1.20+V1.20-F'!$M$17), "Not applicable")</f>
        <v>Not applicable</v>
      </c>
      <c r="F51" s="49" t="str">
        <f>'V1.20+V1.20-F'!$N$17</f>
        <v>NOAP</v>
      </c>
      <c r="G51" s="53" t="str">
        <f ca="1">HYPERLINK("#" &amp; CELL("address", Concepts!$A$57), "Click here for definition")</f>
        <v>Click here for definition</v>
      </c>
    </row>
    <row r="52" spans="1:7" x14ac:dyDescent="0.2">
      <c r="A52">
        <v>51</v>
      </c>
      <c r="B52" t="s">
        <v>1533</v>
      </c>
      <c r="C52" s="53" t="str">
        <f ca="1">HYPERLINK("#" &amp; CELL("address", 'V1.20+V1.20-F'!$A$2), "V1.20")</f>
        <v>V1.20</v>
      </c>
      <c r="D52" s="53" t="str">
        <f ca="1">HYPERLINK("#" &amp; CELL("address", 'V1.20+V1.20-F'!$O$3), "Fraud type")</f>
        <v>Fraud type</v>
      </c>
      <c r="E52" s="53" t="str">
        <f ca="1">HYPERLINK("#" &amp; CELL("address", 'V1.20+V1.20-F'!$O$4), "Not applicable")</f>
        <v>Not applicable</v>
      </c>
      <c r="F52" s="49" t="str">
        <f>'V1.20+V1.20-F'!$P$4</f>
        <v>NOAP</v>
      </c>
      <c r="G52" s="53" t="str">
        <f ca="1">HYPERLINK("#" &amp; CELL("address", Concepts!$A$59), "Click here for definition")</f>
        <v>Click here for definition</v>
      </c>
    </row>
    <row r="53" spans="1:7" x14ac:dyDescent="0.2">
      <c r="A53">
        <v>52</v>
      </c>
      <c r="B53" t="s">
        <v>1533</v>
      </c>
      <c r="C53" s="53" t="str">
        <f ca="1">HYPERLINK("#" &amp; CELL("address", 'V1.20+V1.20-F'!$A$2), "V1.20")</f>
        <v>V1.20</v>
      </c>
      <c r="D53" s="53" t="str">
        <f ca="1">HYPERLINK("#" &amp; CELL("address", 'V1.20+V1.20-F'!$Q$3), "Country of creditor's PSP")</f>
        <v>Country of creditor's PSP</v>
      </c>
      <c r="E53" s="53" t="str">
        <f ca="1">HYPERLINK("#" &amp; CELL("address", 'V1.20+V1.20-F'!$Q$4), "2-letter ISO 3166 country code")</f>
        <v>2-letter ISO 3166 country code</v>
      </c>
      <c r="F53" s="49" t="str">
        <f>'V1.20+V1.20-F'!$R$4</f>
        <v>[Geo]</v>
      </c>
      <c r="G53" s="53" t="str">
        <f ca="1">HYPERLINK("#" &amp; CELL("address", Concepts!$A$145), "Click here for definition")</f>
        <v>Click here for definition</v>
      </c>
    </row>
    <row r="54" spans="1:7" x14ac:dyDescent="0.2">
      <c r="A54">
        <v>53</v>
      </c>
      <c r="B54" t="s">
        <v>1533</v>
      </c>
      <c r="C54" s="53" t="str">
        <f ca="1">HYPERLINK("#" &amp; CELL("address", 'V1.20+V1.20-F'!$A$2), "V1.20")</f>
        <v>V1.20</v>
      </c>
      <c r="D54" s="53" t="str">
        <f ca="1">HYPERLINK("#" &amp; CELL("address", 'V1.20+V1.20-F'!$S$3), "Currency")</f>
        <v>Currency</v>
      </c>
      <c r="E54" s="53" t="str">
        <f ca="1">HYPERLINK("#" &amp; CELL("address", 'V1.20+V1.20-F'!$S$4), "3-letter ISO 4217 currency code")</f>
        <v>3-letter ISO 4217 currency code</v>
      </c>
      <c r="F54" s="49" t="str">
        <f>'V1.20+V1.20-F'!$T$4</f>
        <v>[Currency]</v>
      </c>
      <c r="G54" s="53" t="str">
        <f ca="1">HYPERLINK("#" &amp; CELL("address", Concepts!$A$146), "Click here for definition")</f>
        <v>Click here for definition</v>
      </c>
    </row>
    <row r="55" spans="1:7" x14ac:dyDescent="0.2">
      <c r="A55">
        <v>54</v>
      </c>
      <c r="B55" t="s">
        <v>1533</v>
      </c>
      <c r="C55" s="53" t="str">
        <f ca="1">HYPERLINK("#" &amp; CELL("address", 'V1.20+V1.20-F'!$A$2), "V1.20")</f>
        <v>V1.20</v>
      </c>
      <c r="D55" s="53" t="str">
        <f ca="1">HYPERLINK("#" &amp; CELL("address", 'V1.20+V1.20-F'!$U$3), "Metric")</f>
        <v>Metric</v>
      </c>
      <c r="E55" s="53" t="str">
        <f ca="1">HYPERLINK("#" &amp; CELL("address", 'V1.20+V1.20-F'!$U$4), "Number of transactions")</f>
        <v>Number of transactions</v>
      </c>
      <c r="F55" s="49" t="str">
        <f>'V1.20+V1.20-F'!$V$4</f>
        <v>VOLU</v>
      </c>
      <c r="G55" s="53" t="str">
        <f ca="1">HYPERLINK("#" &amp; CELL("address", Concepts!$A$147), "Click here for definition")</f>
        <v>Click here for definition</v>
      </c>
    </row>
    <row r="56" spans="1:7" x14ac:dyDescent="0.2">
      <c r="A56">
        <v>55</v>
      </c>
      <c r="B56" t="s">
        <v>1533</v>
      </c>
      <c r="C56" s="53" t="str">
        <f ca="1">HYPERLINK("#" &amp; CELL("address", 'V1.20+V1.20-F'!$A$2), "V1.20")</f>
        <v>V1.20</v>
      </c>
      <c r="D56" s="53" t="str">
        <f ca="1">HYPERLINK("#" &amp; CELL("address", 'V1.20+V1.20-F'!$U$3), "Metric")</f>
        <v>Metric</v>
      </c>
      <c r="E56" s="53" t="str">
        <f ca="1">HYPERLINK("#" &amp; CELL("address", 'V1.20+V1.20-F'!$U$5), "Value of transactions")</f>
        <v>Value of transactions</v>
      </c>
      <c r="F56" s="49" t="str">
        <f>'V1.20+V1.20-F'!$V$5</f>
        <v>VALE</v>
      </c>
      <c r="G56" s="53" t="str">
        <f ca="1">HYPERLINK("#" &amp; CELL("address", Concepts!$A$148), "Click here for definition")</f>
        <v>Click here for definition</v>
      </c>
    </row>
    <row r="57" spans="1:7" x14ac:dyDescent="0.2">
      <c r="A57">
        <v>56</v>
      </c>
      <c r="B57" t="s">
        <v>1533</v>
      </c>
      <c r="C57" s="53" t="str">
        <f ca="1">HYPERLINK("#" &amp; CELL("address", 'V1.20+V1.20-F'!$A$23), "V1.20-F")</f>
        <v>V1.20-F</v>
      </c>
      <c r="D57" s="53" t="str">
        <f ca="1">HYPERLINK("#" &amp; CELL("address", 'V1.20+V1.20-F'!$A$3), "Customer category")</f>
        <v>Customer category</v>
      </c>
      <c r="E57" s="53" t="str">
        <f ca="1">HYPERLINK("#" &amp; CELL("address", 'V1.20+V1.20-F'!$A$5), "Credit institution")</f>
        <v>Credit institution</v>
      </c>
      <c r="F57" s="49" t="str">
        <f>'V1.20+V1.20-F'!$B$5</f>
        <v>CRIN</v>
      </c>
      <c r="G57" s="53" t="str">
        <f ca="1">HYPERLINK("#" &amp; CELL("address", Concepts!$A$7), "Click here for definition")</f>
        <v>Click here for definition</v>
      </c>
    </row>
    <row r="58" spans="1:7" x14ac:dyDescent="0.2">
      <c r="A58">
        <v>57</v>
      </c>
      <c r="B58" t="s">
        <v>1533</v>
      </c>
      <c r="C58" s="53" t="str">
        <f ca="1">HYPERLINK("#" &amp; CELL("address", 'V1.20+V1.20-F'!$A$23), "V1.20-F")</f>
        <v>V1.20-F</v>
      </c>
      <c r="D58" s="53" t="str">
        <f ca="1">HYPERLINK("#" &amp; CELL("address", 'V1.20+V1.20-F'!$A$3), "Customer category")</f>
        <v>Customer category</v>
      </c>
      <c r="E58" s="53" t="str">
        <f ca="1">HYPERLINK("#" &amp; CELL("address", 'V1.20+V1.20-F'!$A$6), "Monetary fund")</f>
        <v>Monetary fund</v>
      </c>
      <c r="F58" s="49" t="str">
        <f>'V1.20+V1.20-F'!$B$6</f>
        <v>MOFU</v>
      </c>
      <c r="G58" s="53" t="str">
        <f ca="1">HYPERLINK("#" &amp; CELL("address", Concepts!$A$8), "Click here for definition")</f>
        <v>Click here for definition</v>
      </c>
    </row>
    <row r="59" spans="1:7" x14ac:dyDescent="0.2">
      <c r="A59">
        <v>58</v>
      </c>
      <c r="B59" t="s">
        <v>1533</v>
      </c>
      <c r="C59" s="53" t="str">
        <f ca="1">HYPERLINK("#" &amp; CELL("address", 'V1.20+V1.20-F'!$A$23), "V1.20-F")</f>
        <v>V1.20-F</v>
      </c>
      <c r="D59" s="53" t="str">
        <f ca="1">HYPERLINK("#" &amp; CELL("address", 'V1.20+V1.20-F'!$A$3), "Customer category")</f>
        <v>Customer category</v>
      </c>
      <c r="E59" s="53" t="str">
        <f ca="1">HYPERLINK("#" &amp; CELL("address", 'V1.20+V1.20-F'!$A$7), "Electronic money institution")</f>
        <v>Electronic money institution</v>
      </c>
      <c r="F59" s="49" t="str">
        <f>'V1.20+V1.20-F'!$B$7</f>
        <v>ELMI</v>
      </c>
      <c r="G59" s="53" t="str">
        <f ca="1">HYPERLINK("#" &amp; CELL("address", Concepts!$A$9), "Click here for definition")</f>
        <v>Click here for definition</v>
      </c>
    </row>
    <row r="60" spans="1:7" x14ac:dyDescent="0.2">
      <c r="A60">
        <v>59</v>
      </c>
      <c r="B60" t="s">
        <v>1533</v>
      </c>
      <c r="C60" s="53" t="str">
        <f ca="1">HYPERLINK("#" &amp; CELL("address", 'V1.20+V1.20-F'!$A$23), "V1.20-F")</f>
        <v>V1.20-F</v>
      </c>
      <c r="D60" s="53" t="str">
        <f ca="1">HYPERLINK("#" &amp; CELL("address", 'V1.20+V1.20-F'!$A$3), "Customer category")</f>
        <v>Customer category</v>
      </c>
      <c r="E60" s="53" t="str">
        <f ca="1">HYPERLINK("#" &amp; CELL("address", 'V1.20+V1.20-F'!$A$8), "Payment institution")</f>
        <v>Payment institution</v>
      </c>
      <c r="F60" s="49" t="str">
        <f>'V1.20+V1.20-F'!$B$8</f>
        <v>PMIN</v>
      </c>
      <c r="G60" s="53" t="str">
        <f ca="1">HYPERLINK("#" &amp; CELL("address", Concepts!$A$13), "Click here for definition")</f>
        <v>Click here for definition</v>
      </c>
    </row>
    <row r="61" spans="1:7" x14ac:dyDescent="0.2">
      <c r="A61">
        <v>60</v>
      </c>
      <c r="B61" t="s">
        <v>1533</v>
      </c>
      <c r="C61" s="53" t="str">
        <f ca="1">HYPERLINK("#" &amp; CELL("address", 'V1.20+V1.20-F'!$A$23), "V1.20-F")</f>
        <v>V1.20-F</v>
      </c>
      <c r="D61" s="53" t="str">
        <f ca="1">HYPERLINK("#" &amp; CELL("address", 'V1.20+V1.20-F'!$A$3), "Customer category")</f>
        <v>Customer category</v>
      </c>
      <c r="E61" s="53" t="str">
        <f ca="1">HYPERLINK("#" &amp; CELL("address", 'V1.20+V1.20-F'!$A$9), "Other MFI")</f>
        <v>Other MFI</v>
      </c>
      <c r="F61" s="49" t="str">
        <f>'V1.20+V1.20-F'!$B$9</f>
        <v>OMFI</v>
      </c>
      <c r="G61" s="53" t="str">
        <f ca="1">HYPERLINK("#" &amp; CELL("address", Concepts!$A$10), "Click here for definition")</f>
        <v>Click here for definition</v>
      </c>
    </row>
    <row r="62" spans="1:7" x14ac:dyDescent="0.2">
      <c r="A62">
        <v>61</v>
      </c>
      <c r="B62" t="s">
        <v>1533</v>
      </c>
      <c r="C62" s="53" t="str">
        <f ca="1">HYPERLINK("#" &amp; CELL("address", 'V1.20+V1.20-F'!$A$23), "V1.20-F")</f>
        <v>V1.20-F</v>
      </c>
      <c r="D62" s="53" t="str">
        <f ca="1">HYPERLINK("#" &amp; CELL("address", 'V1.20+V1.20-F'!$A$3), "Customer category")</f>
        <v>Customer category</v>
      </c>
      <c r="E62" s="53" t="str">
        <f ca="1">HYPERLINK("#" &amp; CELL("address", 'V1.20+V1.20-F'!$A$11), "Non-monetary fund")</f>
        <v>Non-monetary fund</v>
      </c>
      <c r="F62" s="49" t="str">
        <f>'V1.20+V1.20-F'!$B$11</f>
        <v>NMFU</v>
      </c>
      <c r="G62" s="53" t="str">
        <f ca="1">HYPERLINK("#" &amp; CELL("address", Concepts!$A$12), "Click here for definition")</f>
        <v>Click here for definition</v>
      </c>
    </row>
    <row r="63" spans="1:7" x14ac:dyDescent="0.2">
      <c r="A63">
        <v>62</v>
      </c>
      <c r="B63" t="s">
        <v>1533</v>
      </c>
      <c r="C63" s="53" t="str">
        <f ca="1">HYPERLINK("#" &amp; CELL("address", 'V1.20+V1.20-F'!$A$23), "V1.20-F")</f>
        <v>V1.20-F</v>
      </c>
      <c r="D63" s="53" t="str">
        <f ca="1">HYPERLINK("#" &amp; CELL("address", 'V1.20+V1.20-F'!$A$3), "Customer category")</f>
        <v>Customer category</v>
      </c>
      <c r="E63" s="53" t="str">
        <f ca="1">HYPERLINK("#" &amp; CELL("address", 'V1.20+V1.20-F'!$A$12), "Households and NPISHs")</f>
        <v>Households and NPISHs</v>
      </c>
      <c r="F63" s="49" t="str">
        <f>'V1.20+V1.20-F'!$B$12</f>
        <v>HSNP</v>
      </c>
      <c r="G63" s="53" t="str">
        <f ca="1">HYPERLINK("#" &amp; CELL("address", Concepts!$A$14), "Click here for definition")</f>
        <v>Click here for definition</v>
      </c>
    </row>
    <row r="64" spans="1:7" x14ac:dyDescent="0.2">
      <c r="A64">
        <v>63</v>
      </c>
      <c r="B64" t="s">
        <v>1533</v>
      </c>
      <c r="C64" s="53" t="str">
        <f ca="1">HYPERLINK("#" &amp; CELL("address", 'V1.20+V1.20-F'!$A$23), "V1.20-F")</f>
        <v>V1.20-F</v>
      </c>
      <c r="D64" s="53" t="str">
        <f ca="1">HYPERLINK("#" &amp; CELL("address", 'V1.20+V1.20-F'!$A$3), "Customer category")</f>
        <v>Customer category</v>
      </c>
      <c r="E64" s="53" t="str">
        <f ca="1">HYPERLINK("#" &amp; CELL("address", 'V1.20+V1.20-F'!$A$13), "Non-financial corporations")</f>
        <v>Non-financial corporations</v>
      </c>
      <c r="F64" s="49" t="str">
        <f>'V1.20+V1.20-F'!$B$13</f>
        <v>CORP</v>
      </c>
      <c r="G64" s="53" t="str">
        <f ca="1">HYPERLINK("#" &amp; CELL("address", Concepts!$A$15), "Click here for definition")</f>
        <v>Click here for definition</v>
      </c>
    </row>
    <row r="65" spans="1:7" x14ac:dyDescent="0.2">
      <c r="A65">
        <v>64</v>
      </c>
      <c r="B65" t="s">
        <v>1533</v>
      </c>
      <c r="C65" s="53" t="str">
        <f ca="1">HYPERLINK("#" &amp; CELL("address", 'V1.20+V1.20-F'!$A$23), "V1.20-F")</f>
        <v>V1.20-F</v>
      </c>
      <c r="D65" s="53" t="str">
        <f ca="1">HYPERLINK("#" &amp; CELL("address", 'V1.20+V1.20-F'!$A$3), "Customer category")</f>
        <v>Customer category</v>
      </c>
      <c r="E65" s="53" t="str">
        <f ca="1">HYPERLINK("#" &amp; CELL("address", 'V1.20+V1.20-F'!$A$14), "Other non-MFI")</f>
        <v>Other non-MFI</v>
      </c>
      <c r="F65" s="49" t="str">
        <f>'V1.20+V1.20-F'!$B$14</f>
        <v>ONMF</v>
      </c>
      <c r="G65" s="53" t="str">
        <f ca="1">HYPERLINK("#" &amp; CELL("address", Concepts!$A$16), "Click here for definition")</f>
        <v>Click here for definition</v>
      </c>
    </row>
    <row r="66" spans="1:7" x14ac:dyDescent="0.2">
      <c r="A66">
        <v>65</v>
      </c>
      <c r="B66" t="s">
        <v>1533</v>
      </c>
      <c r="C66" s="53" t="str">
        <f ca="1">HYPERLINK("#" &amp; CELL("address", 'V1.20+V1.20-F'!$A$23), "V1.20-F")</f>
        <v>V1.20-F</v>
      </c>
      <c r="D66" s="53" t="str">
        <f ca="1">HYPERLINK("#" &amp; CELL("address", 'V1.20+V1.20-F'!$A$3), "Customer category")</f>
        <v>Customer category</v>
      </c>
      <c r="E66" s="53" t="str">
        <f ca="1">HYPERLINK("#" &amp; CELL("address", 'V1.20+V1.20-F'!$A$15), "Own account operation")</f>
        <v>Own account operation</v>
      </c>
      <c r="F66" s="49" t="str">
        <f>'V1.20+V1.20-F'!$B$15</f>
        <v>OWNA</v>
      </c>
      <c r="G66" s="53" t="str">
        <f ca="1">HYPERLINK("#" &amp; CELL("address", Concepts!$A$17), "Click here for definition")</f>
        <v>Click here for definition</v>
      </c>
    </row>
    <row r="67" spans="1:7" x14ac:dyDescent="0.2">
      <c r="A67">
        <v>66</v>
      </c>
      <c r="B67" t="s">
        <v>1533</v>
      </c>
      <c r="C67" s="53" t="str">
        <f ca="1">HYPERLINK("#" &amp; CELL("address", 'V1.20+V1.20-F'!$A$23), "V1.20-F")</f>
        <v>V1.20-F</v>
      </c>
      <c r="D67" s="53" t="str">
        <f ca="1">HYPERLINK("#" &amp; CELL("address", 'V1.20+V1.20-F'!$A$3), "Customer category")</f>
        <v>Customer category</v>
      </c>
      <c r="E67" s="53" t="str">
        <f ca="1">HYPERLINK("#" &amp; CELL("address", 'V1.20+V1.20-F'!$A$16), "Unknown")</f>
        <v>Unknown</v>
      </c>
      <c r="F67" s="49" t="str">
        <f>'V1.20+V1.20-F'!$B$16</f>
        <v>UNKN</v>
      </c>
      <c r="G67" s="53" t="str">
        <f ca="1">HYPERLINK("#" &amp; CELL("address", Concepts!$A$18), "Click here for definition")</f>
        <v>Click here for definition</v>
      </c>
    </row>
    <row r="68" spans="1:7" x14ac:dyDescent="0.2">
      <c r="A68">
        <v>67</v>
      </c>
      <c r="B68" t="s">
        <v>1533</v>
      </c>
      <c r="C68" s="53" t="str">
        <f ca="1">HYPERLINK("#" &amp; CELL("address", 'V1.20+V1.20-F'!$A$23), "V1.20-F")</f>
        <v>V1.20-F</v>
      </c>
      <c r="D68" s="53" t="str">
        <f ca="1">HYPERLINK("#" &amp; CELL("address", 'V1.20+V1.20-F'!$C$3), "Settlement channel")</f>
        <v>Settlement channel</v>
      </c>
      <c r="E68" s="53" t="str">
        <f ca="1">HYPERLINK("#" &amp; CELL("address", 'V1.20+V1.20-F'!$C$5), "T2 RTGS")</f>
        <v>T2 RTGS</v>
      </c>
      <c r="F68" s="49" t="str">
        <f>'V1.20+V1.20-F'!$D$5</f>
        <v>TAR2</v>
      </c>
      <c r="G68" s="53"/>
    </row>
    <row r="69" spans="1:7" x14ac:dyDescent="0.2">
      <c r="A69">
        <v>68</v>
      </c>
      <c r="B69" t="s">
        <v>1533</v>
      </c>
      <c r="C69" s="53" t="str">
        <f ca="1">HYPERLINK("#" &amp; CELL("address", 'V1.20+V1.20-F'!$A$23), "V1.20-F")</f>
        <v>V1.20-F</v>
      </c>
      <c r="D69" s="53" t="str">
        <f ca="1">HYPERLINK("#" &amp; CELL("address", 'V1.20+V1.20-F'!$C$3), "Settlement channel")</f>
        <v>Settlement channel</v>
      </c>
      <c r="E69" s="53" t="str">
        <f ca="1">HYPERLINK("#" &amp; CELL("address", 'V1.20+V1.20-F'!$C$6), "Euro1")</f>
        <v>Euro1</v>
      </c>
      <c r="F69" s="49" t="str">
        <f>'V1.20+V1.20-F'!$D$6</f>
        <v>EUR1</v>
      </c>
      <c r="G69" s="53"/>
    </row>
    <row r="70" spans="1:7" x14ac:dyDescent="0.2">
      <c r="A70">
        <v>69</v>
      </c>
      <c r="B70" t="s">
        <v>1533</v>
      </c>
      <c r="C70" s="53" t="str">
        <f ca="1">HYPERLINK("#" &amp; CELL("address", 'V1.20+V1.20-F'!$A$23), "V1.20-F")</f>
        <v>V1.20-F</v>
      </c>
      <c r="D70" s="53" t="str">
        <f ca="1">HYPERLINK("#" &amp; CELL("address", 'V1.20+V1.20-F'!$C$3), "Settlement channel")</f>
        <v>Settlement channel</v>
      </c>
      <c r="E70" s="53" t="str">
        <f ca="1">HYPERLINK("#" &amp; CELL("address", 'V1.20+V1.20-F'!$C$7), "Step1")</f>
        <v>Step1</v>
      </c>
      <c r="F70" s="49" t="str">
        <f>'V1.20+V1.20-F'!$D$7</f>
        <v>STE1</v>
      </c>
      <c r="G70" s="53"/>
    </row>
    <row r="71" spans="1:7" x14ac:dyDescent="0.2">
      <c r="A71">
        <v>70</v>
      </c>
      <c r="B71" t="s">
        <v>1533</v>
      </c>
      <c r="C71" s="53" t="str">
        <f ca="1">HYPERLINK("#" &amp; CELL("address", 'V1.20+V1.20-F'!$A$23), "V1.20-F")</f>
        <v>V1.20-F</v>
      </c>
      <c r="D71" s="53" t="str">
        <f ca="1">HYPERLINK("#" &amp; CELL("address", 'V1.20+V1.20-F'!$C$3), "Settlement channel")</f>
        <v>Settlement channel</v>
      </c>
      <c r="E71" s="53" t="str">
        <f ca="1">HYPERLINK("#" &amp; CELL("address", 'V1.20+V1.20-F'!$C$8), "Step2")</f>
        <v>Step2</v>
      </c>
      <c r="F71" s="49" t="str">
        <f>'V1.20+V1.20-F'!$D$8</f>
        <v>STE2</v>
      </c>
      <c r="G71" s="53"/>
    </row>
    <row r="72" spans="1:7" x14ac:dyDescent="0.2">
      <c r="A72">
        <v>71</v>
      </c>
      <c r="B72" t="s">
        <v>1533</v>
      </c>
      <c r="C72" s="53" t="str">
        <f ca="1">HYPERLINK("#" &amp; CELL("address", 'V1.20+V1.20-F'!$A$23), "V1.20-F")</f>
        <v>V1.20-F</v>
      </c>
      <c r="D72" s="53" t="str">
        <f ca="1">HYPERLINK("#" &amp; CELL("address", 'V1.20+V1.20-F'!$C$3), "Settlement channel")</f>
        <v>Settlement channel</v>
      </c>
      <c r="E72" s="53" t="str">
        <f ca="1">HYPERLINK("#" &amp; CELL("address", 'V1.20+V1.20-F'!$C$9), "Equens")</f>
        <v>Equens</v>
      </c>
      <c r="F72" s="49" t="str">
        <f>'V1.20+V1.20-F'!$D$9</f>
        <v>EQUE</v>
      </c>
      <c r="G72" s="53"/>
    </row>
    <row r="73" spans="1:7" x14ac:dyDescent="0.2">
      <c r="A73">
        <v>72</v>
      </c>
      <c r="B73" t="s">
        <v>1533</v>
      </c>
      <c r="C73" s="53" t="str">
        <f ca="1">HYPERLINK("#" &amp; CELL("address", 'V1.20+V1.20-F'!$A$23), "V1.20-F")</f>
        <v>V1.20-F</v>
      </c>
      <c r="D73" s="53" t="str">
        <f ca="1">HYPERLINK("#" &amp; CELL("address", 'V1.20+V1.20-F'!$C$3), "Settlement channel")</f>
        <v>Settlement channel</v>
      </c>
      <c r="E73" s="53" t="str">
        <f ca="1">HYPERLINK("#" &amp; CELL("address", 'V1.20+V1.20-F'!$C$11), "TIPS")</f>
        <v>TIPS</v>
      </c>
      <c r="F73" s="49" t="str">
        <f>'V1.20+V1.20-F'!$D$11</f>
        <v>TIPS</v>
      </c>
      <c r="G73" s="53"/>
    </row>
    <row r="74" spans="1:7" x14ac:dyDescent="0.2">
      <c r="A74">
        <v>73</v>
      </c>
      <c r="B74" t="s">
        <v>1533</v>
      </c>
      <c r="C74" s="53" t="str">
        <f ca="1">HYPERLINK("#" &amp; CELL("address", 'V1.20+V1.20-F'!$A$23), "V1.20-F")</f>
        <v>V1.20-F</v>
      </c>
      <c r="D74" s="53" t="str">
        <f ca="1">HYPERLINK("#" &amp; CELL("address", 'V1.20+V1.20-F'!$C$3), "Settlement channel")</f>
        <v>Settlement channel</v>
      </c>
      <c r="E74" s="53" t="str">
        <f ca="1">HYPERLINK("#" &amp; CELL("address", 'V1.20+V1.20-F'!$C$12), "RT1")</f>
        <v>RT1</v>
      </c>
      <c r="F74" s="49" t="str">
        <f>'V1.20+V1.20-F'!$D$12</f>
        <v>ERT1</v>
      </c>
      <c r="G74" s="53"/>
    </row>
    <row r="75" spans="1:7" x14ac:dyDescent="0.2">
      <c r="A75">
        <v>74</v>
      </c>
      <c r="B75" t="s">
        <v>1533</v>
      </c>
      <c r="C75" s="53" t="str">
        <f ca="1">HYPERLINK("#" &amp; CELL("address", 'V1.20+V1.20-F'!$A$23), "V1.20-F")</f>
        <v>V1.20-F</v>
      </c>
      <c r="D75" s="53" t="str">
        <f ca="1">HYPERLINK("#" &amp; CELL("address", 'V1.20+V1.20-F'!$C$3), "Settlement channel")</f>
        <v>Settlement channel</v>
      </c>
      <c r="E75" s="53" t="str">
        <f ca="1">HYPERLINK("#" &amp; CELL("address", 'V1.20+V1.20-F'!$C$13), "Other instant")</f>
        <v>Other instant</v>
      </c>
      <c r="F75" s="49" t="str">
        <f>'V1.20+V1.20-F'!$D$13</f>
        <v>OTHI</v>
      </c>
      <c r="G75" s="53" t="str">
        <f ca="1">HYPERLINK("#" &amp; CELL("address", Concepts!$A$19), "Click here for definition")</f>
        <v>Click here for definition</v>
      </c>
    </row>
    <row r="76" spans="1:7" x14ac:dyDescent="0.2">
      <c r="A76">
        <v>75</v>
      </c>
      <c r="B76" t="s">
        <v>1533</v>
      </c>
      <c r="C76" s="53" t="str">
        <f ca="1">HYPERLINK("#" &amp; CELL("address", 'V1.20+V1.20-F'!$A$23), "V1.20-F")</f>
        <v>V1.20-F</v>
      </c>
      <c r="D76" s="53" t="str">
        <f ca="1">HYPERLINK("#" &amp; CELL("address", 'V1.20+V1.20-F'!$C$3), "Settlement channel")</f>
        <v>Settlement channel</v>
      </c>
      <c r="E76" s="53" t="str">
        <f ca="1">HYPERLINK("#" &amp; CELL("address", 'V1.20+V1.20-F'!$C$14), "On-us")</f>
        <v>On-us</v>
      </c>
      <c r="F76" s="49" t="str">
        <f>'V1.20+V1.20-F'!$D$14</f>
        <v>ONUS</v>
      </c>
      <c r="G76" s="53" t="str">
        <f ca="1">HYPERLINK("#" &amp; CELL("address", Concepts!$A$20), "Click here for definition")</f>
        <v>Click here for definition</v>
      </c>
    </row>
    <row r="77" spans="1:7" x14ac:dyDescent="0.2">
      <c r="A77">
        <v>76</v>
      </c>
      <c r="B77" t="s">
        <v>1533</v>
      </c>
      <c r="C77" s="53" t="str">
        <f ca="1">HYPERLINK("#" &amp; CELL("address", 'V1.20+V1.20-F'!$A$23), "V1.20-F")</f>
        <v>V1.20-F</v>
      </c>
      <c r="D77" s="53" t="str">
        <f ca="1">HYPERLINK("#" &amp; CELL("address", 'V1.20+V1.20-F'!$C$3), "Settlement channel")</f>
        <v>Settlement channel</v>
      </c>
      <c r="E77" s="53" t="str">
        <f ca="1">HYPERLINK("#" &amp; CELL("address", 'V1.20+V1.20-F'!$C$15), "PSP LU")</f>
        <v>PSP LU</v>
      </c>
      <c r="F77" s="49" t="str">
        <f>'V1.20+V1.20-F'!$D$15</f>
        <v>PSPL</v>
      </c>
      <c r="G77" s="53" t="str">
        <f ca="1">HYPERLINK("#" &amp; CELL("address", Concepts!$A$23), "Click here for definition")</f>
        <v>Click here for definition</v>
      </c>
    </row>
    <row r="78" spans="1:7" x14ac:dyDescent="0.2">
      <c r="A78">
        <v>77</v>
      </c>
      <c r="B78" t="s">
        <v>1533</v>
      </c>
      <c r="C78" s="53" t="str">
        <f ca="1">HYPERLINK("#" &amp; CELL("address", 'V1.20+V1.20-F'!$A$23), "V1.20-F")</f>
        <v>V1.20-F</v>
      </c>
      <c r="D78" s="53" t="str">
        <f ca="1">HYPERLINK("#" &amp; CELL("address", 'V1.20+V1.20-F'!$C$3), "Settlement channel")</f>
        <v>Settlement channel</v>
      </c>
      <c r="E78" s="53" t="str">
        <f ca="1">HYPERLINK("#" &amp; CELL("address", 'V1.20+V1.20-F'!$C$16), "PSP non-LU")</f>
        <v>PSP non-LU</v>
      </c>
      <c r="F78" s="49" t="str">
        <f>'V1.20+V1.20-F'!$D$16</f>
        <v>PSPN</v>
      </c>
      <c r="G78" s="53" t="str">
        <f ca="1">HYPERLINK("#" &amp; CELL("address", Concepts!$A$24), "Click here for definition")</f>
        <v>Click here for definition</v>
      </c>
    </row>
    <row r="79" spans="1:7" x14ac:dyDescent="0.2">
      <c r="A79">
        <v>78</v>
      </c>
      <c r="B79" t="s">
        <v>1533</v>
      </c>
      <c r="C79" s="53" t="str">
        <f ca="1">HYPERLINK("#" &amp; CELL("address", 'V1.20+V1.20-F'!$A$23), "V1.20-F")</f>
        <v>V1.20-F</v>
      </c>
      <c r="D79" s="53" t="str">
        <f ca="1">HYPERLINK("#" &amp; CELL("address", 'V1.20+V1.20-F'!$C$3), "Settlement channel")</f>
        <v>Settlement channel</v>
      </c>
      <c r="E79" s="53" t="str">
        <f ca="1">HYPERLINK("#" &amp; CELL("address", 'V1.20+V1.20-F'!$C$17), "Other")</f>
        <v>Other</v>
      </c>
      <c r="F79" s="49" t="str">
        <f>'V1.20+V1.20-F'!$D$17</f>
        <v>OTHR</v>
      </c>
      <c r="G79" s="53" t="str">
        <f ca="1">HYPERLINK("#" &amp; CELL("address", Concepts!$A$25), "Click here for definition")</f>
        <v>Click here for definition</v>
      </c>
    </row>
    <row r="80" spans="1:7" x14ac:dyDescent="0.2">
      <c r="A80">
        <v>79</v>
      </c>
      <c r="B80" t="s">
        <v>1533</v>
      </c>
      <c r="C80" s="53" t="str">
        <f ca="1">HYPERLINK("#" &amp; CELL("address", 'V1.20+V1.20-F'!$A$23), "V1.20-F")</f>
        <v>V1.20-F</v>
      </c>
      <c r="D80" s="53" t="str">
        <f ca="1">HYPERLINK("#" &amp; CELL("address", 'V1.20+V1.20-F'!$E$3), "Payment scheme")</f>
        <v>Payment scheme</v>
      </c>
      <c r="E80" s="53" t="str">
        <f ca="1">HYPERLINK("#" &amp; CELL("address", 'V1.20+V1.20-F'!$E$4), "SEPA credit transfer")</f>
        <v>SEPA credit transfer</v>
      </c>
      <c r="F80" s="49" t="str">
        <f>'V1.20+V1.20-F'!$F$4</f>
        <v>SEPA</v>
      </c>
      <c r="G80" s="53" t="str">
        <f ca="1">HYPERLINK("#" &amp; CELL("address", Concepts!$A$26), "Click here for definition")</f>
        <v>Click here for definition</v>
      </c>
    </row>
    <row r="81" spans="1:7" x14ac:dyDescent="0.2">
      <c r="A81">
        <v>80</v>
      </c>
      <c r="B81" t="s">
        <v>1533</v>
      </c>
      <c r="C81" s="53" t="str">
        <f ca="1">HYPERLINK("#" &amp; CELL("address", 'V1.20+V1.20-F'!$A$23), "V1.20-F")</f>
        <v>V1.20-F</v>
      </c>
      <c r="D81" s="53" t="str">
        <f ca="1">HYPERLINK("#" &amp; CELL("address", 'V1.20+V1.20-F'!$E$3), "Payment scheme")</f>
        <v>Payment scheme</v>
      </c>
      <c r="E81" s="53" t="str">
        <f ca="1">HYPERLINK("#" &amp; CELL("address", 'V1.20+V1.20-F'!$E$5), "SEPA Instant Credit Transfer")</f>
        <v>SEPA Instant Credit Transfer</v>
      </c>
      <c r="F81" s="49" t="str">
        <f>'V1.20+V1.20-F'!$F$5</f>
        <v>SCTI</v>
      </c>
      <c r="G81" s="53" t="str">
        <f ca="1">HYPERLINK("#" &amp; CELL("address", Concepts!$A$27), "Click here for definition")</f>
        <v>Click here for definition</v>
      </c>
    </row>
    <row r="82" spans="1:7" x14ac:dyDescent="0.2">
      <c r="A82">
        <v>81</v>
      </c>
      <c r="B82" t="s">
        <v>1533</v>
      </c>
      <c r="C82" s="53" t="str">
        <f ca="1">HYPERLINK("#" &amp; CELL("address", 'V1.20+V1.20-F'!$A$23), "V1.20-F")</f>
        <v>V1.20-F</v>
      </c>
      <c r="D82" s="53" t="str">
        <f ca="1">HYPERLINK("#" &amp; CELL("address", 'V1.20+V1.20-F'!$E$3), "Payment scheme")</f>
        <v>Payment scheme</v>
      </c>
      <c r="E82" s="53" t="str">
        <f ca="1">HYPERLINK("#" &amp; CELL("address", 'V1.20+V1.20-F'!$E$6), "Non-SEPA scheme")</f>
        <v>Non-SEPA scheme</v>
      </c>
      <c r="F82" s="49" t="str">
        <f>'V1.20+V1.20-F'!$F$6</f>
        <v>NSEP</v>
      </c>
      <c r="G82" s="53" t="str">
        <f ca="1">HYPERLINK("#" &amp; CELL("address", Concepts!$A$28), "Click here for definition")</f>
        <v>Click here for definition</v>
      </c>
    </row>
    <row r="83" spans="1:7" x14ac:dyDescent="0.2">
      <c r="A83">
        <v>82</v>
      </c>
      <c r="B83" t="s">
        <v>1533</v>
      </c>
      <c r="C83" s="53" t="str">
        <f ca="1">HYPERLINK("#" &amp; CELL("address", 'V1.20+V1.20-F'!$A$23), "V1.20-F")</f>
        <v>V1.20-F</v>
      </c>
      <c r="D83" s="53" t="str">
        <f ca="1">HYPERLINK("#" &amp; CELL("address", 'V1.20+V1.20-F'!$E$3), "Payment scheme")</f>
        <v>Payment scheme</v>
      </c>
      <c r="E83" s="53" t="str">
        <f ca="1">HYPERLINK("#" &amp; CELL("address", 'V1.20+V1.20-F'!$E$7), "Not applicable")</f>
        <v>Not applicable</v>
      </c>
      <c r="F83" s="49" t="str">
        <f>'V1.20+V1.20-F'!$F$7</f>
        <v>NOAP</v>
      </c>
      <c r="G83" s="53" t="str">
        <f ca="1">HYPERLINK("#" &amp; CELL("address", Concepts!$A$29), "Click here for definition")</f>
        <v>Click here for definition</v>
      </c>
    </row>
    <row r="84" spans="1:7" x14ac:dyDescent="0.2">
      <c r="A84">
        <v>83</v>
      </c>
      <c r="B84" t="s">
        <v>1533</v>
      </c>
      <c r="C84" s="53" t="str">
        <f ca="1">HYPERLINK("#" &amp; CELL("address", 'V1.20+V1.20-F'!$A$23), "V1.20-F")</f>
        <v>V1.20-F</v>
      </c>
      <c r="D84" s="53" t="str">
        <f ca="1">HYPERLINK("#" &amp; CELL("address", 'V1.20+V1.20-F'!$G$3), "Initiation channel")</f>
        <v>Initiation channel</v>
      </c>
      <c r="E84" s="53" t="str">
        <f ca="1">HYPERLINK("#" &amp; CELL("address", 'V1.20+V1.20-F'!$G$4), "Paper")</f>
        <v>Paper</v>
      </c>
      <c r="F84" s="49" t="str">
        <f>'V1.20+V1.20-F'!$H$4</f>
        <v>PAPR</v>
      </c>
      <c r="G84" s="53" t="str">
        <f ca="1">HYPERLINK("#" &amp; CELL("address", Concepts!$A$30), "Click here for definition")</f>
        <v>Click here for definition</v>
      </c>
    </row>
    <row r="85" spans="1:7" x14ac:dyDescent="0.2">
      <c r="A85">
        <v>84</v>
      </c>
      <c r="B85" t="s">
        <v>1533</v>
      </c>
      <c r="C85" s="53" t="str">
        <f ca="1">HYPERLINK("#" &amp; CELL("address", 'V1.20+V1.20-F'!$A$23), "V1.20-F")</f>
        <v>V1.20-F</v>
      </c>
      <c r="D85" s="53" t="str">
        <f ca="1">HYPERLINK("#" &amp; CELL("address", 'V1.20+V1.20-F'!$G$3), "Initiation channel")</f>
        <v>Initiation channel</v>
      </c>
      <c r="E85" s="53" t="str">
        <f ca="1">HYPERLINK("#" &amp; CELL("address", 'V1.20+V1.20-F'!$G$5), "Electronic file/batch")</f>
        <v>Electronic file/batch</v>
      </c>
      <c r="F85" s="49" t="str">
        <f>'V1.20+V1.20-F'!$H$5</f>
        <v>ELFB</v>
      </c>
      <c r="G85" s="53" t="str">
        <f ca="1">HYPERLINK("#" &amp; CELL("address", Concepts!$A$32), "Click here for definition")</f>
        <v>Click here for definition</v>
      </c>
    </row>
    <row r="86" spans="1:7" x14ac:dyDescent="0.2">
      <c r="A86">
        <v>85</v>
      </c>
      <c r="B86" t="s">
        <v>1533</v>
      </c>
      <c r="C86" s="53" t="str">
        <f ca="1">HYPERLINK("#" &amp; CELL("address", 'V1.20+V1.20-F'!$A$23), "V1.20-F")</f>
        <v>V1.20-F</v>
      </c>
      <c r="D86" s="53" t="str">
        <f ca="1">HYPERLINK("#" &amp; CELL("address", 'V1.20+V1.20-F'!$G$3), "Initiation channel")</f>
        <v>Initiation channel</v>
      </c>
      <c r="E86" s="53" t="str">
        <f ca="1">HYPERLINK("#" &amp; CELL("address", 'V1.20+V1.20-F'!$G$8), "E-commerce payment")</f>
        <v>E-commerce payment</v>
      </c>
      <c r="F86" s="49" t="str">
        <f>'V1.20+V1.20-F'!$H$8</f>
        <v>ECOM</v>
      </c>
      <c r="G86" s="53" t="str">
        <f ca="1">HYPERLINK("#" &amp; CELL("address", Concepts!$A$34), "Click here for definition")</f>
        <v>Click here for definition</v>
      </c>
    </row>
    <row r="87" spans="1:7" x14ac:dyDescent="0.2">
      <c r="A87">
        <v>86</v>
      </c>
      <c r="B87" t="s">
        <v>1533</v>
      </c>
      <c r="C87" s="53" t="str">
        <f ca="1">HYPERLINK("#" &amp; CELL("address", 'V1.20+V1.20-F'!$A$23), "V1.20-F")</f>
        <v>V1.20-F</v>
      </c>
      <c r="D87" s="53" t="str">
        <f ca="1">HYPERLINK("#" &amp; CELL("address", 'V1.20+V1.20-F'!$G$3), "Initiation channel")</f>
        <v>Initiation channel</v>
      </c>
      <c r="E87" s="53" t="str">
        <f ca="1">HYPERLINK("#" &amp; CELL("address", 'V1.20+V1.20-F'!$G$9), "Web banking payment")</f>
        <v>Web banking payment</v>
      </c>
      <c r="F87" s="49" t="str">
        <f>'V1.20+V1.20-F'!$H$9</f>
        <v>WEBB</v>
      </c>
      <c r="G87" s="53" t="str">
        <f ca="1">HYPERLINK("#" &amp; CELL("address", Concepts!$A$35), "Click here for definition")</f>
        <v>Click here for definition</v>
      </c>
    </row>
    <row r="88" spans="1:7" x14ac:dyDescent="0.2">
      <c r="A88">
        <v>87</v>
      </c>
      <c r="B88" t="s">
        <v>1533</v>
      </c>
      <c r="C88" s="53" t="str">
        <f ca="1">HYPERLINK("#" &amp; CELL("address", 'V1.20+V1.20-F'!$A$23), "V1.20-F")</f>
        <v>V1.20-F</v>
      </c>
      <c r="D88" s="53" t="str">
        <f ca="1">HYPERLINK("#" &amp; CELL("address", 'V1.20+V1.20-F'!$G$3), "Initiation channel")</f>
        <v>Initiation channel</v>
      </c>
      <c r="E88" s="53" t="str">
        <f ca="1">HYPERLINK("#" &amp; CELL("address", 'V1.20+V1.20-F'!$G$10), "ATM or other PSP terminal")</f>
        <v>ATM or other PSP terminal</v>
      </c>
      <c r="F88" s="49" t="str">
        <f>'V1.20+V1.20-F'!$H$10</f>
        <v>PSPT</v>
      </c>
      <c r="G88" s="53" t="str">
        <f ca="1">HYPERLINK("#" &amp; CELL("address", Concepts!$A$36), "Click here for definition")</f>
        <v>Click here for definition</v>
      </c>
    </row>
    <row r="89" spans="1:7" x14ac:dyDescent="0.2">
      <c r="A89">
        <v>88</v>
      </c>
      <c r="B89" t="s">
        <v>1533</v>
      </c>
      <c r="C89" s="53" t="str">
        <f ca="1">HYPERLINK("#" &amp; CELL("address", 'V1.20+V1.20-F'!$A$23), "V1.20-F")</f>
        <v>V1.20-F</v>
      </c>
      <c r="D89" s="53" t="str">
        <f ca="1">HYPERLINK("#" &amp; CELL("address", 'V1.20+V1.20-F'!$G$3), "Initiation channel")</f>
        <v>Initiation channel</v>
      </c>
      <c r="E89" s="53" t="str">
        <f ca="1">HYPERLINK("#" &amp; CELL("address", 'V1.20+V1.20-F'!$G$12), "P2P MPS")</f>
        <v>P2P MPS</v>
      </c>
      <c r="F89" s="49" t="str">
        <f>'V1.20+V1.20-F'!$H$12</f>
        <v>P2PM</v>
      </c>
      <c r="G89" s="53" t="str">
        <f ca="1">HYPERLINK("#" &amp; CELL("address", Concepts!$A$40), "Click here for definition")</f>
        <v>Click here for definition</v>
      </c>
    </row>
    <row r="90" spans="1:7" x14ac:dyDescent="0.2">
      <c r="A90">
        <v>89</v>
      </c>
      <c r="B90" t="s">
        <v>1533</v>
      </c>
      <c r="C90" s="53" t="str">
        <f ca="1">HYPERLINK("#" &amp; CELL("address", 'V1.20+V1.20-F'!$A$23), "V1.20-F")</f>
        <v>V1.20-F</v>
      </c>
      <c r="D90" s="53" t="str">
        <f ca="1">HYPERLINK("#" &amp; CELL("address", 'V1.20+V1.20-F'!$G$3), "Initiation channel")</f>
        <v>Initiation channel</v>
      </c>
      <c r="E90" s="53" t="str">
        <f ca="1">HYPERLINK("#" &amp; CELL("address", 'V1.20+V1.20-F'!$G$13), "Other MPS")</f>
        <v>Other MPS</v>
      </c>
      <c r="F90" s="49" t="str">
        <f>'V1.20+V1.20-F'!$H$13</f>
        <v>OMPS</v>
      </c>
      <c r="G90" s="53" t="str">
        <f ca="1">HYPERLINK("#" &amp; CELL("address", Concepts!$A$41), "Click here for definition")</f>
        <v>Click here for definition</v>
      </c>
    </row>
    <row r="91" spans="1:7" x14ac:dyDescent="0.2">
      <c r="A91">
        <v>90</v>
      </c>
      <c r="B91" t="s">
        <v>1533</v>
      </c>
      <c r="C91" s="53" t="str">
        <f ca="1">HYPERLINK("#" &amp; CELL("address", 'V1.20+V1.20-F'!$A$23), "V1.20-F")</f>
        <v>V1.20-F</v>
      </c>
      <c r="D91" s="53" t="str">
        <f ca="1">HYPERLINK("#" &amp; CELL("address", 'V1.20+V1.20-F'!$G$3), "Initiation channel")</f>
        <v>Initiation channel</v>
      </c>
      <c r="E91" s="53" t="str">
        <f ca="1">HYPERLINK("#" &amp; CELL("address", 'V1.20+V1.20-F'!$G$14), "Other electronic single")</f>
        <v>Other electronic single</v>
      </c>
      <c r="F91" s="49" t="str">
        <f>'V1.20+V1.20-F'!$H$14</f>
        <v>ELOT</v>
      </c>
      <c r="G91" s="53" t="str">
        <f ca="1">HYPERLINK("#" &amp; CELL("address", Concepts!$A$37), "Click here for definition")</f>
        <v>Click here for definition</v>
      </c>
    </row>
    <row r="92" spans="1:7" x14ac:dyDescent="0.2">
      <c r="A92">
        <v>91</v>
      </c>
      <c r="B92" t="s">
        <v>1533</v>
      </c>
      <c r="C92" s="53" t="str">
        <f ca="1">HYPERLINK("#" &amp; CELL("address", 'V1.20+V1.20-F'!$A$23), "V1.20-F")</f>
        <v>V1.20-F</v>
      </c>
      <c r="D92" s="53" t="str">
        <f ca="1">HYPERLINK("#" &amp; CELL("address", 'V1.20+V1.20-F'!$G$3), "Initiation channel")</f>
        <v>Initiation channel</v>
      </c>
      <c r="E92" s="53" t="str">
        <f ca="1">HYPERLINK("#" &amp; CELL("address", 'V1.20+V1.20-F'!$G$15), "Other non-electronic")</f>
        <v>Other non-electronic</v>
      </c>
      <c r="F92" s="49" t="str">
        <f>'V1.20+V1.20-F'!$H$15</f>
        <v>OTHR</v>
      </c>
      <c r="G92" s="53" t="str">
        <f ca="1">HYPERLINK("#" &amp; CELL("address", Concepts!$A$42), "Click here for definition")</f>
        <v>Click here for definition</v>
      </c>
    </row>
    <row r="93" spans="1:7" x14ac:dyDescent="0.2">
      <c r="A93">
        <v>92</v>
      </c>
      <c r="B93" t="s">
        <v>1533</v>
      </c>
      <c r="C93" s="53" t="str">
        <f ca="1">HYPERLINK("#" &amp; CELL("address", 'V1.20+V1.20-F'!$A$23), "V1.20-F")</f>
        <v>V1.20-F</v>
      </c>
      <c r="D93" s="53" t="str">
        <f ca="1">HYPERLINK("#" &amp; CELL("address", 'V1.20+V1.20-F'!$I$3), "Initiation sub-channel")</f>
        <v>Initiation sub-channel</v>
      </c>
      <c r="E93" s="53" t="str">
        <f ca="1">HYPERLINK("#" &amp; CELL("address", 'V1.20+V1.20-F'!$I$4), "Remote")</f>
        <v>Remote</v>
      </c>
      <c r="F93" s="49" t="str">
        <f>'V1.20+V1.20-F'!$J$4</f>
        <v>REM1</v>
      </c>
      <c r="G93" s="53" t="str">
        <f ca="1">HYPERLINK("#" &amp; CELL("address", Concepts!$A$43), "Click here for definition")</f>
        <v>Click here for definition</v>
      </c>
    </row>
    <row r="94" spans="1:7" x14ac:dyDescent="0.2">
      <c r="A94">
        <v>93</v>
      </c>
      <c r="B94" t="s">
        <v>1533</v>
      </c>
      <c r="C94" s="53" t="str">
        <f ca="1">HYPERLINK("#" &amp; CELL("address", 'V1.20+V1.20-F'!$A$23), "V1.20-F")</f>
        <v>V1.20-F</v>
      </c>
      <c r="D94" s="53" t="str">
        <f ca="1">HYPERLINK("#" &amp; CELL("address", 'V1.20+V1.20-F'!$I$3), "Initiation sub-channel")</f>
        <v>Initiation sub-channel</v>
      </c>
      <c r="E94" s="53" t="str">
        <f ca="1">HYPERLINK("#" &amp; CELL("address", 'V1.20+V1.20-F'!$I$5), "Non-remote")</f>
        <v>Non-remote</v>
      </c>
      <c r="F94" s="49" t="str">
        <f>'V1.20+V1.20-F'!$J$5</f>
        <v>REM0</v>
      </c>
      <c r="G94" s="53" t="str">
        <f ca="1">HYPERLINK("#" &amp; CELL("address", Concepts!$A$44), "Click here for definition")</f>
        <v>Click here for definition</v>
      </c>
    </row>
    <row r="95" spans="1:7" x14ac:dyDescent="0.2">
      <c r="A95">
        <v>94</v>
      </c>
      <c r="B95" t="s">
        <v>1533</v>
      </c>
      <c r="C95" s="53" t="str">
        <f ca="1">HYPERLINK("#" &amp; CELL("address", 'V1.20+V1.20-F'!$A$23), "V1.20-F")</f>
        <v>V1.20-F</v>
      </c>
      <c r="D95" s="53" t="str">
        <f ca="1">HYPERLINK("#" &amp; CELL("address", 'V1.20+V1.20-F'!$K$3), "Initiator type")</f>
        <v>Initiator type</v>
      </c>
      <c r="E95" s="53" t="str">
        <f ca="1">HYPERLINK("#" &amp; CELL("address", 'V1.20+V1.20-F'!$K$4), "Customer")</f>
        <v>Customer</v>
      </c>
      <c r="F95" s="49" t="str">
        <f>'V1.20+V1.20-F'!$L$4</f>
        <v>CUST</v>
      </c>
      <c r="G95" s="53" t="str">
        <f ca="1">HYPERLINK("#" &amp; CELL("address", Concepts!$A$45), "Click here for definition")</f>
        <v>Click here for definition</v>
      </c>
    </row>
    <row r="96" spans="1:7" x14ac:dyDescent="0.2">
      <c r="A96">
        <v>95</v>
      </c>
      <c r="B96" t="s">
        <v>1533</v>
      </c>
      <c r="C96" s="53" t="str">
        <f ca="1">HYPERLINK("#" &amp; CELL("address", 'V1.20+V1.20-F'!$A$23), "V1.20-F")</f>
        <v>V1.20-F</v>
      </c>
      <c r="D96" s="53" t="str">
        <f ca="1">HYPERLINK("#" &amp; CELL("address", 'V1.20+V1.20-F'!$K$3), "Initiator type")</f>
        <v>Initiator type</v>
      </c>
      <c r="E96" s="53" t="str">
        <f ca="1">HYPERLINK("#" &amp; CELL("address", 'V1.20+V1.20-F'!$K$5), "PISP")</f>
        <v>PISP</v>
      </c>
      <c r="F96" s="49" t="str">
        <f>'V1.20+V1.20-F'!$L$5</f>
        <v>PISP</v>
      </c>
      <c r="G96" s="53" t="str">
        <f ca="1">HYPERLINK("#" &amp; CELL("address", Concepts!$A$46), "Click here for definition")</f>
        <v>Click here for definition</v>
      </c>
    </row>
    <row r="97" spans="1:7" x14ac:dyDescent="0.2">
      <c r="A97">
        <v>96</v>
      </c>
      <c r="B97" t="s">
        <v>1533</v>
      </c>
      <c r="C97" s="53" t="str">
        <f ca="1">HYPERLINK("#" &amp; CELL("address", 'V1.20+V1.20-F'!$A$23), "V1.20-F")</f>
        <v>V1.20-F</v>
      </c>
      <c r="D97" s="53" t="str">
        <f ca="1">HYPERLINK("#" &amp; CELL("address", 'V1.20+V1.20-F'!$M$3), "SCA")</f>
        <v>SCA</v>
      </c>
      <c r="E97" s="53" t="str">
        <f ca="1">HYPERLINK("#" &amp; CELL("address", 'V1.20+V1.20-F'!$M$4), "SCA used")</f>
        <v>SCA used</v>
      </c>
      <c r="F97" s="49" t="str">
        <f>'V1.20+V1.20-F'!$N$4</f>
        <v>SCA1</v>
      </c>
      <c r="G97" s="53" t="str">
        <f ca="1">HYPERLINK("#" &amp; CELL("address", Concepts!$A$47), "Click here for definition")</f>
        <v>Click here for definition</v>
      </c>
    </row>
    <row r="98" spans="1:7" x14ac:dyDescent="0.2">
      <c r="A98">
        <v>97</v>
      </c>
      <c r="B98" t="s">
        <v>1533</v>
      </c>
      <c r="C98" s="53" t="str">
        <f ca="1">HYPERLINK("#" &amp; CELL("address", 'V1.20+V1.20-F'!$A$23), "V1.20-F")</f>
        <v>V1.20-F</v>
      </c>
      <c r="D98" s="53" t="str">
        <f ca="1">HYPERLINK("#" &amp; CELL("address", 'V1.20+V1.20-F'!$M$3), "SCA")</f>
        <v>SCA</v>
      </c>
      <c r="E98" s="53" t="str">
        <f ca="1">HYPERLINK("#" &amp; CELL("address", 'V1.20+V1.20-F'!$M$7), "Payment to self")</f>
        <v>Payment to self</v>
      </c>
      <c r="F98" s="49" t="str">
        <f>'V1.20+V1.20-F'!$N$7</f>
        <v>PSLF</v>
      </c>
      <c r="G98" s="53" t="str">
        <f ca="1">HYPERLINK("#" &amp; CELL("address", Concepts!$A$49), "Click here for definition")</f>
        <v>Click here for definition</v>
      </c>
    </row>
    <row r="99" spans="1:7" x14ac:dyDescent="0.2">
      <c r="A99">
        <v>98</v>
      </c>
      <c r="B99" t="s">
        <v>1533</v>
      </c>
      <c r="C99" s="53" t="str">
        <f ca="1">HYPERLINK("#" &amp; CELL("address", 'V1.20+V1.20-F'!$A$23), "V1.20-F")</f>
        <v>V1.20-F</v>
      </c>
      <c r="D99" s="53" t="str">
        <f ca="1">HYPERLINK("#" &amp; CELL("address", 'V1.20+V1.20-F'!$M$3), "SCA")</f>
        <v>SCA</v>
      </c>
      <c r="E99" s="53" t="str">
        <f ca="1">HYPERLINK("#" &amp; CELL("address", 'V1.20+V1.20-F'!$M$8), "Trusted beneficiaries")</f>
        <v>Trusted beneficiaries</v>
      </c>
      <c r="F99" s="49" t="str">
        <f>'V1.20+V1.20-F'!$N$8</f>
        <v>TRBN</v>
      </c>
      <c r="G99" s="53" t="str">
        <f ca="1">HYPERLINK("#" &amp; CELL("address", Concepts!$A$50), "Click here for definition")</f>
        <v>Click here for definition</v>
      </c>
    </row>
    <row r="100" spans="1:7" x14ac:dyDescent="0.2">
      <c r="A100">
        <v>99</v>
      </c>
      <c r="B100" t="s">
        <v>1533</v>
      </c>
      <c r="C100" s="53" t="str">
        <f ca="1">HYPERLINK("#" &amp; CELL("address", 'V1.20+V1.20-F'!$A$23), "V1.20-F")</f>
        <v>V1.20-F</v>
      </c>
      <c r="D100" s="53" t="str">
        <f ca="1">HYPERLINK("#" &amp; CELL("address", 'V1.20+V1.20-F'!$M$3), "SCA")</f>
        <v>SCA</v>
      </c>
      <c r="E100" s="53" t="str">
        <f ca="1">HYPERLINK("#" &amp; CELL("address", 'V1.20+V1.20-F'!$M$9), "Recurring transaction")</f>
        <v>Recurring transaction</v>
      </c>
      <c r="F100" s="49" t="str">
        <f>'V1.20+V1.20-F'!$N$9</f>
        <v>RETR</v>
      </c>
      <c r="G100" s="53" t="str">
        <f ca="1">HYPERLINK("#" &amp; CELL("address", Concepts!$A$51), "Click here for definition")</f>
        <v>Click here for definition</v>
      </c>
    </row>
    <row r="101" spans="1:7" x14ac:dyDescent="0.2">
      <c r="A101">
        <v>100</v>
      </c>
      <c r="B101" t="s">
        <v>1533</v>
      </c>
      <c r="C101" s="53" t="str">
        <f ca="1">HYPERLINK("#" &amp; CELL("address", 'V1.20+V1.20-F'!$A$23), "V1.20-F")</f>
        <v>V1.20-F</v>
      </c>
      <c r="D101" s="53" t="str">
        <f ca="1">HYPERLINK("#" &amp; CELL("address", 'V1.20+V1.20-F'!$M$3), "SCA")</f>
        <v>SCA</v>
      </c>
      <c r="E101" s="53" t="str">
        <f ca="1">HYPERLINK("#" &amp; CELL("address", 'V1.20+V1.20-F'!$M$11), "Contactless low value")</f>
        <v>Contactless low value</v>
      </c>
      <c r="F101" s="49" t="str">
        <f>'V1.20+V1.20-F'!$N$11</f>
        <v>CLOW</v>
      </c>
      <c r="G101" s="53" t="str">
        <f ca="1">HYPERLINK("#" &amp; CELL("address", Concepts!$A$52), "Click here for definition")</f>
        <v>Click here for definition</v>
      </c>
    </row>
    <row r="102" spans="1:7" x14ac:dyDescent="0.2">
      <c r="A102">
        <v>101</v>
      </c>
      <c r="B102" t="s">
        <v>1533</v>
      </c>
      <c r="C102" s="53" t="str">
        <f ca="1">HYPERLINK("#" &amp; CELL("address", 'V1.20+V1.20-F'!$A$23), "V1.20-F")</f>
        <v>V1.20-F</v>
      </c>
      <c r="D102" s="53" t="str">
        <f ca="1">HYPERLINK("#" &amp; CELL("address", 'V1.20+V1.20-F'!$M$3), "SCA")</f>
        <v>SCA</v>
      </c>
      <c r="E102" s="53" t="str">
        <f ca="1">HYPERLINK("#" &amp; CELL("address", 'V1.20+V1.20-F'!$M$12), "Unattended terminal for transport fares or parking fees")</f>
        <v>Unattended terminal for transport fares or parking fees</v>
      </c>
      <c r="F102" s="49" t="str">
        <f>'V1.20+V1.20-F'!$N$12</f>
        <v>UNTE</v>
      </c>
      <c r="G102" s="53" t="str">
        <f ca="1">HYPERLINK("#" &amp; CELL("address", Concepts!$A$53), "Click here for definition")</f>
        <v>Click here for definition</v>
      </c>
    </row>
    <row r="103" spans="1:7" x14ac:dyDescent="0.2">
      <c r="A103">
        <v>102</v>
      </c>
      <c r="B103" t="s">
        <v>1533</v>
      </c>
      <c r="C103" s="53" t="str">
        <f ca="1">HYPERLINK("#" &amp; CELL("address", 'V1.20+V1.20-F'!$A$23), "V1.20-F")</f>
        <v>V1.20-F</v>
      </c>
      <c r="D103" s="53" t="str">
        <f ca="1">HYPERLINK("#" &amp; CELL("address", 'V1.20+V1.20-F'!$M$3), "SCA")</f>
        <v>SCA</v>
      </c>
      <c r="E103" s="53" t="str">
        <f ca="1">HYPERLINK("#" &amp; CELL("address", 'V1.20+V1.20-F'!$M$14), "Low value")</f>
        <v>Low value</v>
      </c>
      <c r="F103" s="49" t="str">
        <f>'V1.20+V1.20-F'!$N$14</f>
        <v>RLOW</v>
      </c>
      <c r="G103" s="53" t="str">
        <f ca="1">HYPERLINK("#" &amp; CELL("address", Concepts!$A$54), "Click here for definition")</f>
        <v>Click here for definition</v>
      </c>
    </row>
    <row r="104" spans="1:7" x14ac:dyDescent="0.2">
      <c r="A104">
        <v>103</v>
      </c>
      <c r="B104" t="s">
        <v>1533</v>
      </c>
      <c r="C104" s="53" t="str">
        <f ca="1">HYPERLINK("#" &amp; CELL("address", 'V1.20+V1.20-F'!$A$23), "V1.20-F")</f>
        <v>V1.20-F</v>
      </c>
      <c r="D104" s="53" t="str">
        <f ca="1">HYPERLINK("#" &amp; CELL("address", 'V1.20+V1.20-F'!$M$3), "SCA")</f>
        <v>SCA</v>
      </c>
      <c r="E104" s="53" t="str">
        <f ca="1">HYPERLINK("#" &amp; CELL("address", 'V1.20+V1.20-F'!$M$15), "Secure corporate payment processes and protocols")</f>
        <v>Secure corporate payment processes and protocols</v>
      </c>
      <c r="F104" s="49" t="str">
        <f>'V1.20+V1.20-F'!$N$15</f>
        <v>SECO</v>
      </c>
      <c r="G104" s="53" t="str">
        <f ca="1">HYPERLINK("#" &amp; CELL("address", Concepts!$A$55), "Click here for definition")</f>
        <v>Click here for definition</v>
      </c>
    </row>
    <row r="105" spans="1:7" x14ac:dyDescent="0.2">
      <c r="A105">
        <v>104</v>
      </c>
      <c r="B105" t="s">
        <v>1533</v>
      </c>
      <c r="C105" s="53" t="str">
        <f ca="1">HYPERLINK("#" &amp; CELL("address", 'V1.20+V1.20-F'!$A$23), "V1.20-F")</f>
        <v>V1.20-F</v>
      </c>
      <c r="D105" s="53" t="str">
        <f ca="1">HYPERLINK("#" &amp; CELL("address", 'V1.20+V1.20-F'!$M$3), "SCA")</f>
        <v>SCA</v>
      </c>
      <c r="E105" s="53" t="str">
        <f ca="1">HYPERLINK("#" &amp; CELL("address", 'V1.20+V1.20-F'!$M$16), "Transaction risk analysis")</f>
        <v>Transaction risk analysis</v>
      </c>
      <c r="F105" s="49" t="str">
        <f>'V1.20+V1.20-F'!$N$16</f>
        <v>RTRA</v>
      </c>
      <c r="G105" s="53" t="str">
        <f ca="1">HYPERLINK("#" &amp; CELL("address", Concepts!$A$56), "Click here for definition")</f>
        <v>Click here for definition</v>
      </c>
    </row>
    <row r="106" spans="1:7" x14ac:dyDescent="0.2">
      <c r="A106">
        <v>105</v>
      </c>
      <c r="B106" t="s">
        <v>1533</v>
      </c>
      <c r="C106" s="53" t="str">
        <f ca="1">HYPERLINK("#" &amp; CELL("address", 'V1.20+V1.20-F'!$A$23), "V1.20-F")</f>
        <v>V1.20-F</v>
      </c>
      <c r="D106" s="53" t="str">
        <f ca="1">HYPERLINK("#" &amp; CELL("address", 'V1.20+V1.20-F'!$M$3), "SCA")</f>
        <v>SCA</v>
      </c>
      <c r="E106" s="53" t="str">
        <f ca="1">HYPERLINK("#" &amp; CELL("address", 'V1.20+V1.20-F'!$M$17), "Not applicable")</f>
        <v>Not applicable</v>
      </c>
      <c r="F106" s="49" t="str">
        <f>'V1.20+V1.20-F'!$N$17</f>
        <v>NOAP</v>
      </c>
      <c r="G106" s="53" t="str">
        <f ca="1">HYPERLINK("#" &amp; CELL("address", Concepts!$A$57), "Click here for definition")</f>
        <v>Click here for definition</v>
      </c>
    </row>
    <row r="107" spans="1:7" x14ac:dyDescent="0.2">
      <c r="A107">
        <v>106</v>
      </c>
      <c r="B107" t="s">
        <v>1533</v>
      </c>
      <c r="C107" s="53" t="str">
        <f ca="1">HYPERLINK("#" &amp; CELL("address", 'V1.20+V1.20-F'!$A$23), "V1.20-F")</f>
        <v>V1.20-F</v>
      </c>
      <c r="D107" s="53" t="str">
        <f ca="1">HYPERLINK("#" &amp; CELL("address", 'V1.20+V1.20-F'!$O$3), "Fraud type")</f>
        <v>Fraud type</v>
      </c>
      <c r="E107" s="53" t="str">
        <f ca="1">HYPERLINK("#" &amp; CELL("address", 'V1.20+V1.20-F'!$O$25), "Issuance of a payment order by the fraudster")</f>
        <v>Issuance of a payment order by the fraudster</v>
      </c>
      <c r="F107" s="49" t="str">
        <f>'V1.20+V1.20-F'!$P$25</f>
        <v>ISSU</v>
      </c>
      <c r="G107" s="53" t="str">
        <f ca="1">HYPERLINK("#" &amp; CELL("address", Concepts!$A$60), "Click here for definition")</f>
        <v>Click here for definition</v>
      </c>
    </row>
    <row r="108" spans="1:7" x14ac:dyDescent="0.2">
      <c r="A108">
        <v>107</v>
      </c>
      <c r="B108" t="s">
        <v>1533</v>
      </c>
      <c r="C108" s="53" t="str">
        <f ca="1">HYPERLINK("#" &amp; CELL("address", 'V1.20+V1.20-F'!$A$23), "V1.20-F")</f>
        <v>V1.20-F</v>
      </c>
      <c r="D108" s="53" t="str">
        <f ca="1">HYPERLINK("#" &amp; CELL("address", 'V1.20+V1.20-F'!$O$3), "Fraud type")</f>
        <v>Fraud type</v>
      </c>
      <c r="E108" s="53" t="str">
        <f ca="1">HYPERLINK("#" &amp; CELL("address", 'V1.20+V1.20-F'!$O$26), "Modification of a payment order by the fraudster")</f>
        <v>Modification of a payment order by the fraudster</v>
      </c>
      <c r="F108" s="49" t="str">
        <f>'V1.20+V1.20-F'!$P$26</f>
        <v>MODF</v>
      </c>
      <c r="G108" s="53" t="str">
        <f ca="1">HYPERLINK("#" &amp; CELL("address", Concepts!$A$61), "Click here for definition")</f>
        <v>Click here for definition</v>
      </c>
    </row>
    <row r="109" spans="1:7" x14ac:dyDescent="0.2">
      <c r="A109">
        <v>108</v>
      </c>
      <c r="B109" t="s">
        <v>1533</v>
      </c>
      <c r="C109" s="53" t="str">
        <f ca="1">HYPERLINK("#" &amp; CELL("address", 'V1.20+V1.20-F'!$A$23), "V1.20-F")</f>
        <v>V1.20-F</v>
      </c>
      <c r="D109" s="53" t="str">
        <f ca="1">HYPERLINK("#" &amp; CELL("address", 'V1.20+V1.20-F'!$O$3), "Fraud type")</f>
        <v>Fraud type</v>
      </c>
      <c r="E109" s="53" t="str">
        <f ca="1">HYPERLINK("#" &amp; CELL("address", 'V1.20+V1.20-F'!$O$27), "Manipulation of the payer by the fraudster to issue a payment order")</f>
        <v>Manipulation of the payer by the fraudster to issue a payment order</v>
      </c>
      <c r="F109" s="49" t="str">
        <f>'V1.20+V1.20-F'!$P$27</f>
        <v>MNPO</v>
      </c>
      <c r="G109" s="53" t="str">
        <f ca="1">HYPERLINK("#" &amp; CELL("address", Concepts!$A$63), "Click here for definition")</f>
        <v>Click here for definition</v>
      </c>
    </row>
    <row r="110" spans="1:7" x14ac:dyDescent="0.2">
      <c r="A110">
        <v>109</v>
      </c>
      <c r="B110" t="s">
        <v>1533</v>
      </c>
      <c r="C110" s="53" t="str">
        <f ca="1">HYPERLINK("#" &amp; CELL("address", 'V1.20+V1.20-F'!$A$23), "V1.20-F")</f>
        <v>V1.20-F</v>
      </c>
      <c r="D110" s="53" t="str">
        <f ca="1">HYPERLINK("#" &amp; CELL("address", 'V1.20+V1.20-F'!$Q$3), "Country of creditor's PSP")</f>
        <v>Country of creditor's PSP</v>
      </c>
      <c r="E110" s="53" t="str">
        <f ca="1">HYPERLINK("#" &amp; CELL("address", 'V1.20+V1.20-F'!$Q$4), "2-letter ISO 3166 country code")</f>
        <v>2-letter ISO 3166 country code</v>
      </c>
      <c r="F110" s="49" t="str">
        <f>'V1.20+V1.20-F'!$R$4</f>
        <v>[Geo]</v>
      </c>
      <c r="G110" s="53" t="str">
        <f ca="1">HYPERLINK("#" &amp; CELL("address", Concepts!$A$145), "Click here for definition")</f>
        <v>Click here for definition</v>
      </c>
    </row>
    <row r="111" spans="1:7" x14ac:dyDescent="0.2">
      <c r="A111">
        <v>110</v>
      </c>
      <c r="B111" t="s">
        <v>1533</v>
      </c>
      <c r="C111" s="53" t="str">
        <f ca="1">HYPERLINK("#" &amp; CELL("address", 'V1.20+V1.20-F'!$A$23), "V1.20-F")</f>
        <v>V1.20-F</v>
      </c>
      <c r="D111" s="53" t="str">
        <f ca="1">HYPERLINK("#" &amp; CELL("address", 'V1.20+V1.20-F'!$S$3), "Currency")</f>
        <v>Currency</v>
      </c>
      <c r="E111" s="53" t="str">
        <f ca="1">HYPERLINK("#" &amp; CELL("address", 'V1.20+V1.20-F'!$S$4), "3-letter ISO 4217 currency code")</f>
        <v>3-letter ISO 4217 currency code</v>
      </c>
      <c r="F111" s="49" t="str">
        <f>'V1.20+V1.20-F'!$T$4</f>
        <v>[Currency]</v>
      </c>
      <c r="G111" s="53" t="str">
        <f ca="1">HYPERLINK("#" &amp; CELL("address", Concepts!$A$146), "Click here for definition")</f>
        <v>Click here for definition</v>
      </c>
    </row>
    <row r="112" spans="1:7" x14ac:dyDescent="0.2">
      <c r="A112">
        <v>111</v>
      </c>
      <c r="B112" t="s">
        <v>1533</v>
      </c>
      <c r="C112" s="53" t="str">
        <f ca="1">HYPERLINK("#" &amp; CELL("address", 'V1.20+V1.20-F'!$A$23), "V1.20-F")</f>
        <v>V1.20-F</v>
      </c>
      <c r="D112" s="53" t="str">
        <f ca="1">HYPERLINK("#" &amp; CELL("address", 'V1.20+V1.20-F'!$U$3), "Metric")</f>
        <v>Metric</v>
      </c>
      <c r="E112" s="53" t="str">
        <f ca="1">HYPERLINK("#" &amp; CELL("address", 'V1.20+V1.20-F'!$U$4), "Number of transactions")</f>
        <v>Number of transactions</v>
      </c>
      <c r="F112" s="49" t="str">
        <f>'V1.20+V1.20-F'!$V$4</f>
        <v>VOLU</v>
      </c>
      <c r="G112" s="53" t="str">
        <f ca="1">HYPERLINK("#" &amp; CELL("address", Concepts!$A$147), "Click here for definition")</f>
        <v>Click here for definition</v>
      </c>
    </row>
    <row r="113" spans="1:7" x14ac:dyDescent="0.2">
      <c r="A113">
        <v>112</v>
      </c>
      <c r="B113" t="s">
        <v>1533</v>
      </c>
      <c r="C113" s="53" t="str">
        <f ca="1">HYPERLINK("#" &amp; CELL("address", 'V1.20+V1.20-F'!$A$23), "V1.20-F")</f>
        <v>V1.20-F</v>
      </c>
      <c r="D113" s="53" t="str">
        <f ca="1">HYPERLINK("#" &amp; CELL("address", 'V1.20+V1.20-F'!$U$3), "Metric")</f>
        <v>Metric</v>
      </c>
      <c r="E113" s="53" t="str">
        <f ca="1">HYPERLINK("#" &amp; CELL("address", 'V1.20+V1.20-F'!$U$5), "Value of transactions")</f>
        <v>Value of transactions</v>
      </c>
      <c r="F113" s="49" t="str">
        <f>'V1.20+V1.20-F'!$V$5</f>
        <v>VALE</v>
      </c>
      <c r="G113" s="53" t="str">
        <f ca="1">HYPERLINK("#" &amp; CELL("address", Concepts!$A$148), "Click here for definition")</f>
        <v>Click here for definition</v>
      </c>
    </row>
    <row r="114" spans="1:7" x14ac:dyDescent="0.2">
      <c r="A114">
        <v>113</v>
      </c>
      <c r="B114" t="s">
        <v>1096</v>
      </c>
      <c r="C114" s="53" t="str">
        <f ca="1">HYPERLINK("#" &amp; CELL("address", 'V1.21'!$A$2), "V1.21")</f>
        <v>V1.21</v>
      </c>
      <c r="D114" s="53" t="str">
        <f ca="1">HYPERLINK("#" &amp; CELL("address", 'V1.21'!$A$3), "Customer category")</f>
        <v>Customer category</v>
      </c>
      <c r="E114" s="53" t="str">
        <f ca="1">HYPERLINK("#" &amp; CELL("address", 'V1.21'!$A$5), "Credit institution")</f>
        <v>Credit institution</v>
      </c>
      <c r="F114" s="49" t="str">
        <f>'V1.21'!$B$5</f>
        <v>CRIN</v>
      </c>
      <c r="G114" s="53" t="str">
        <f ca="1">HYPERLINK("#" &amp; CELL("address", Concepts!$A$7), "Click here for definition")</f>
        <v>Click here for definition</v>
      </c>
    </row>
    <row r="115" spans="1:7" x14ac:dyDescent="0.2">
      <c r="A115">
        <v>114</v>
      </c>
      <c r="B115" t="s">
        <v>1096</v>
      </c>
      <c r="C115" s="53" t="str">
        <f ca="1">HYPERLINK("#" &amp; CELL("address", 'V1.21'!$A$2), "V1.21")</f>
        <v>V1.21</v>
      </c>
      <c r="D115" s="53" t="str">
        <f ca="1">HYPERLINK("#" &amp; CELL("address", 'V1.21'!$A$3), "Customer category")</f>
        <v>Customer category</v>
      </c>
      <c r="E115" s="53" t="str">
        <f ca="1">HYPERLINK("#" &amp; CELL("address", 'V1.21'!$A$6), "Monetary fund")</f>
        <v>Monetary fund</v>
      </c>
      <c r="F115" s="49" t="str">
        <f>'V1.21'!$B$6</f>
        <v>MOFU</v>
      </c>
      <c r="G115" s="53" t="str">
        <f ca="1">HYPERLINK("#" &amp; CELL("address", Concepts!$A$8), "Click here for definition")</f>
        <v>Click here for definition</v>
      </c>
    </row>
    <row r="116" spans="1:7" x14ac:dyDescent="0.2">
      <c r="A116">
        <v>115</v>
      </c>
      <c r="B116" t="s">
        <v>1096</v>
      </c>
      <c r="C116" s="53" t="str">
        <f ca="1">HYPERLINK("#" &amp; CELL("address", 'V1.21'!$A$2), "V1.21")</f>
        <v>V1.21</v>
      </c>
      <c r="D116" s="53" t="str">
        <f ca="1">HYPERLINK("#" &amp; CELL("address", 'V1.21'!$A$3), "Customer category")</f>
        <v>Customer category</v>
      </c>
      <c r="E116" s="53" t="str">
        <f ca="1">HYPERLINK("#" &amp; CELL("address", 'V1.21'!$A$7), "Electronic money institution")</f>
        <v>Electronic money institution</v>
      </c>
      <c r="F116" s="49" t="str">
        <f>'V1.21'!$B$7</f>
        <v>ELMI</v>
      </c>
      <c r="G116" s="53" t="str">
        <f ca="1">HYPERLINK("#" &amp; CELL("address", Concepts!$A$9), "Click here for definition")</f>
        <v>Click here for definition</v>
      </c>
    </row>
    <row r="117" spans="1:7" x14ac:dyDescent="0.2">
      <c r="A117">
        <v>116</v>
      </c>
      <c r="B117" t="s">
        <v>1096</v>
      </c>
      <c r="C117" s="53" t="str">
        <f ca="1">HYPERLINK("#" &amp; CELL("address", 'V1.21'!$A$2), "V1.21")</f>
        <v>V1.21</v>
      </c>
      <c r="D117" s="53" t="str">
        <f ca="1">HYPERLINK("#" &amp; CELL("address", 'V1.21'!$A$3), "Customer category")</f>
        <v>Customer category</v>
      </c>
      <c r="E117" s="53" t="str">
        <f ca="1">HYPERLINK("#" &amp; CELL("address", 'V1.21'!$A$8), "Payment institution")</f>
        <v>Payment institution</v>
      </c>
      <c r="F117" s="49" t="str">
        <f>'V1.21'!$B$8</f>
        <v>PMIN</v>
      </c>
      <c r="G117" s="53" t="str">
        <f ca="1">HYPERLINK("#" &amp; CELL("address", Concepts!$A$13), "Click here for definition")</f>
        <v>Click here for definition</v>
      </c>
    </row>
    <row r="118" spans="1:7" x14ac:dyDescent="0.2">
      <c r="A118">
        <v>117</v>
      </c>
      <c r="B118" t="s">
        <v>1096</v>
      </c>
      <c r="C118" s="53" t="str">
        <f ca="1">HYPERLINK("#" &amp; CELL("address", 'V1.21'!$A$2), "V1.21")</f>
        <v>V1.21</v>
      </c>
      <c r="D118" s="53" t="str">
        <f ca="1">HYPERLINK("#" &amp; CELL("address", 'V1.21'!$A$3), "Customer category")</f>
        <v>Customer category</v>
      </c>
      <c r="E118" s="53" t="str">
        <f ca="1">HYPERLINK("#" &amp; CELL("address", 'V1.21'!$A$9), "Other MFI")</f>
        <v>Other MFI</v>
      </c>
      <c r="F118" s="49" t="str">
        <f>'V1.21'!$B$9</f>
        <v>OMFI</v>
      </c>
      <c r="G118" s="53" t="str">
        <f ca="1">HYPERLINK("#" &amp; CELL("address", Concepts!$A$10), "Click here for definition")</f>
        <v>Click here for definition</v>
      </c>
    </row>
    <row r="119" spans="1:7" x14ac:dyDescent="0.2">
      <c r="A119">
        <v>118</v>
      </c>
      <c r="B119" t="s">
        <v>1096</v>
      </c>
      <c r="C119" s="53" t="str">
        <f ca="1">HYPERLINK("#" &amp; CELL("address", 'V1.21'!$A$2), "V1.21")</f>
        <v>V1.21</v>
      </c>
      <c r="D119" s="53" t="str">
        <f ca="1">HYPERLINK("#" &amp; CELL("address", 'V1.21'!$A$3), "Customer category")</f>
        <v>Customer category</v>
      </c>
      <c r="E119" s="53" t="str">
        <f ca="1">HYPERLINK("#" &amp; CELL("address", 'V1.21'!$A$11), "Non-monetary fund")</f>
        <v>Non-monetary fund</v>
      </c>
      <c r="F119" s="49" t="str">
        <f>'V1.21'!$B$11</f>
        <v>NMFU</v>
      </c>
      <c r="G119" s="53" t="str">
        <f ca="1">HYPERLINK("#" &amp; CELL("address", Concepts!$A$12), "Click here for definition")</f>
        <v>Click here for definition</v>
      </c>
    </row>
    <row r="120" spans="1:7" x14ac:dyDescent="0.2">
      <c r="A120">
        <v>119</v>
      </c>
      <c r="B120" t="s">
        <v>1096</v>
      </c>
      <c r="C120" s="53" t="str">
        <f ca="1">HYPERLINK("#" &amp; CELL("address", 'V1.21'!$A$2), "V1.21")</f>
        <v>V1.21</v>
      </c>
      <c r="D120" s="53" t="str">
        <f ca="1">HYPERLINK("#" &amp; CELL("address", 'V1.21'!$A$3), "Customer category")</f>
        <v>Customer category</v>
      </c>
      <c r="E120" s="53" t="str">
        <f ca="1">HYPERLINK("#" &amp; CELL("address", 'V1.21'!$A$12), "Households and NPISHs")</f>
        <v>Households and NPISHs</v>
      </c>
      <c r="F120" s="49" t="str">
        <f>'V1.21'!$B$12</f>
        <v>HSNP</v>
      </c>
      <c r="G120" s="53" t="str">
        <f ca="1">HYPERLINK("#" &amp; CELL("address", Concepts!$A$14), "Click here for definition")</f>
        <v>Click here for definition</v>
      </c>
    </row>
    <row r="121" spans="1:7" x14ac:dyDescent="0.2">
      <c r="A121">
        <v>120</v>
      </c>
      <c r="B121" t="s">
        <v>1096</v>
      </c>
      <c r="C121" s="53" t="str">
        <f ca="1">HYPERLINK("#" &amp; CELL("address", 'V1.21'!$A$2), "V1.21")</f>
        <v>V1.21</v>
      </c>
      <c r="D121" s="53" t="str">
        <f ca="1">HYPERLINK("#" &amp; CELL("address", 'V1.21'!$A$3), "Customer category")</f>
        <v>Customer category</v>
      </c>
      <c r="E121" s="53" t="str">
        <f ca="1">HYPERLINK("#" &amp; CELL("address", 'V1.21'!$A$13), "Non-financial corporations")</f>
        <v>Non-financial corporations</v>
      </c>
      <c r="F121" s="49" t="str">
        <f>'V1.21'!$B$13</f>
        <v>CORP</v>
      </c>
      <c r="G121" s="53" t="str">
        <f ca="1">HYPERLINK("#" &amp; CELL("address", Concepts!$A$15), "Click here for definition")</f>
        <v>Click here for definition</v>
      </c>
    </row>
    <row r="122" spans="1:7" x14ac:dyDescent="0.2">
      <c r="A122">
        <v>121</v>
      </c>
      <c r="B122" t="s">
        <v>1096</v>
      </c>
      <c r="C122" s="53" t="str">
        <f ca="1">HYPERLINK("#" &amp; CELL("address", 'V1.21'!$A$2), "V1.21")</f>
        <v>V1.21</v>
      </c>
      <c r="D122" s="53" t="str">
        <f ca="1">HYPERLINK("#" &amp; CELL("address", 'V1.21'!$A$3), "Customer category")</f>
        <v>Customer category</v>
      </c>
      <c r="E122" s="53" t="str">
        <f ca="1">HYPERLINK("#" &amp; CELL("address", 'V1.21'!$A$14), "Other non-MFI")</f>
        <v>Other non-MFI</v>
      </c>
      <c r="F122" s="49" t="str">
        <f>'V1.21'!$B$14</f>
        <v>ONMF</v>
      </c>
      <c r="G122" s="53" t="str">
        <f ca="1">HYPERLINK("#" &amp; CELL("address", Concepts!$A$16), "Click here for definition")</f>
        <v>Click here for definition</v>
      </c>
    </row>
    <row r="123" spans="1:7" x14ac:dyDescent="0.2">
      <c r="A123">
        <v>122</v>
      </c>
      <c r="B123" t="s">
        <v>1096</v>
      </c>
      <c r="C123" s="53" t="str">
        <f ca="1">HYPERLINK("#" &amp; CELL("address", 'V1.21'!$A$2), "V1.21")</f>
        <v>V1.21</v>
      </c>
      <c r="D123" s="53" t="str">
        <f ca="1">HYPERLINK("#" &amp; CELL("address", 'V1.21'!$A$3), "Customer category")</f>
        <v>Customer category</v>
      </c>
      <c r="E123" s="53" t="str">
        <f ca="1">HYPERLINK("#" &amp; CELL("address", 'V1.21'!$A$15), "Own account operation")</f>
        <v>Own account operation</v>
      </c>
      <c r="F123" s="49" t="str">
        <f>'V1.21'!$B$15</f>
        <v>OWNA</v>
      </c>
      <c r="G123" s="53" t="str">
        <f ca="1">HYPERLINK("#" &amp; CELL("address", Concepts!$A$17), "Click here for definition")</f>
        <v>Click here for definition</v>
      </c>
    </row>
    <row r="124" spans="1:7" x14ac:dyDescent="0.2">
      <c r="A124">
        <v>123</v>
      </c>
      <c r="B124" t="s">
        <v>1096</v>
      </c>
      <c r="C124" s="53" t="str">
        <f ca="1">HYPERLINK("#" &amp; CELL("address", 'V1.21'!$A$2), "V1.21")</f>
        <v>V1.21</v>
      </c>
      <c r="D124" s="53" t="str">
        <f ca="1">HYPERLINK("#" &amp; CELL("address", 'V1.21'!$A$3), "Customer category")</f>
        <v>Customer category</v>
      </c>
      <c r="E124" s="53" t="str">
        <f ca="1">HYPERLINK("#" &amp; CELL("address", 'V1.21'!$A$16), "Unknown")</f>
        <v>Unknown</v>
      </c>
      <c r="F124" s="49" t="str">
        <f>'V1.21'!$B$16</f>
        <v>UNKN</v>
      </c>
      <c r="G124" s="53" t="str">
        <f ca="1">HYPERLINK("#" &amp; CELL("address", Concepts!$A$18), "Click here for definition")</f>
        <v>Click here for definition</v>
      </c>
    </row>
    <row r="125" spans="1:7" x14ac:dyDescent="0.2">
      <c r="A125">
        <v>124</v>
      </c>
      <c r="B125" t="s">
        <v>1096</v>
      </c>
      <c r="C125" s="53" t="str">
        <f ca="1">HYPERLINK("#" &amp; CELL("address", 'V1.21'!$A$2), "V1.21")</f>
        <v>V1.21</v>
      </c>
      <c r="D125" s="53" t="str">
        <f ca="1">HYPERLINK("#" &amp; CELL("address", 'V1.21'!$C$3), "Settlement channel")</f>
        <v>Settlement channel</v>
      </c>
      <c r="E125" s="53" t="str">
        <f ca="1">HYPERLINK("#" &amp; CELL("address", 'V1.21'!$C$5), "T2 RTGS")</f>
        <v>T2 RTGS</v>
      </c>
      <c r="F125" s="49" t="str">
        <f>'V1.21'!$D$5</f>
        <v>TAR2</v>
      </c>
      <c r="G125" s="53"/>
    </row>
    <row r="126" spans="1:7" x14ac:dyDescent="0.2">
      <c r="A126">
        <v>125</v>
      </c>
      <c r="B126" t="s">
        <v>1096</v>
      </c>
      <c r="C126" s="53" t="str">
        <f ca="1">HYPERLINK("#" &amp; CELL("address", 'V1.21'!$A$2), "V1.21")</f>
        <v>V1.21</v>
      </c>
      <c r="D126" s="53" t="str">
        <f ca="1">HYPERLINK("#" &amp; CELL("address", 'V1.21'!$C$3), "Settlement channel")</f>
        <v>Settlement channel</v>
      </c>
      <c r="E126" s="53" t="str">
        <f ca="1">HYPERLINK("#" &amp; CELL("address", 'V1.21'!$C$6), "Euro1")</f>
        <v>Euro1</v>
      </c>
      <c r="F126" s="49" t="str">
        <f>'V1.21'!$D$6</f>
        <v>EUR1</v>
      </c>
      <c r="G126" s="53"/>
    </row>
    <row r="127" spans="1:7" x14ac:dyDescent="0.2">
      <c r="A127">
        <v>126</v>
      </c>
      <c r="B127" t="s">
        <v>1096</v>
      </c>
      <c r="C127" s="53" t="str">
        <f ca="1">HYPERLINK("#" &amp; CELL("address", 'V1.21'!$A$2), "V1.21")</f>
        <v>V1.21</v>
      </c>
      <c r="D127" s="53" t="str">
        <f ca="1">HYPERLINK("#" &amp; CELL("address", 'V1.21'!$C$3), "Settlement channel")</f>
        <v>Settlement channel</v>
      </c>
      <c r="E127" s="53" t="str">
        <f ca="1">HYPERLINK("#" &amp; CELL("address", 'V1.21'!$C$7), "Step1")</f>
        <v>Step1</v>
      </c>
      <c r="F127" s="49" t="str">
        <f>'V1.21'!$D$7</f>
        <v>STE1</v>
      </c>
      <c r="G127" s="53"/>
    </row>
    <row r="128" spans="1:7" x14ac:dyDescent="0.2">
      <c r="A128">
        <v>127</v>
      </c>
      <c r="B128" t="s">
        <v>1096</v>
      </c>
      <c r="C128" s="53" t="str">
        <f ca="1">HYPERLINK("#" &amp; CELL("address", 'V1.21'!$A$2), "V1.21")</f>
        <v>V1.21</v>
      </c>
      <c r="D128" s="53" t="str">
        <f ca="1">HYPERLINK("#" &amp; CELL("address", 'V1.21'!$C$3), "Settlement channel")</f>
        <v>Settlement channel</v>
      </c>
      <c r="E128" s="53" t="str">
        <f ca="1">HYPERLINK("#" &amp; CELL("address", 'V1.21'!$C$8), "Step2")</f>
        <v>Step2</v>
      </c>
      <c r="F128" s="49" t="str">
        <f>'V1.21'!$D$8</f>
        <v>STE2</v>
      </c>
      <c r="G128" s="53"/>
    </row>
    <row r="129" spans="1:7" x14ac:dyDescent="0.2">
      <c r="A129">
        <v>128</v>
      </c>
      <c r="B129" t="s">
        <v>1096</v>
      </c>
      <c r="C129" s="53" t="str">
        <f ca="1">HYPERLINK("#" &amp; CELL("address", 'V1.21'!$A$2), "V1.21")</f>
        <v>V1.21</v>
      </c>
      <c r="D129" s="53" t="str">
        <f ca="1">HYPERLINK("#" &amp; CELL("address", 'V1.21'!$C$3), "Settlement channel")</f>
        <v>Settlement channel</v>
      </c>
      <c r="E129" s="53" t="str">
        <f ca="1">HYPERLINK("#" &amp; CELL("address", 'V1.21'!$C$9), "Equens")</f>
        <v>Equens</v>
      </c>
      <c r="F129" s="49" t="str">
        <f>'V1.21'!$D$9</f>
        <v>EQUE</v>
      </c>
      <c r="G129" s="53"/>
    </row>
    <row r="130" spans="1:7" x14ac:dyDescent="0.2">
      <c r="A130">
        <v>129</v>
      </c>
      <c r="B130" t="s">
        <v>1096</v>
      </c>
      <c r="C130" s="53" t="str">
        <f ca="1">HYPERLINK("#" &amp; CELL("address", 'V1.21'!$A$2), "V1.21")</f>
        <v>V1.21</v>
      </c>
      <c r="D130" s="53" t="str">
        <f ca="1">HYPERLINK("#" &amp; CELL("address", 'V1.21'!$C$3), "Settlement channel")</f>
        <v>Settlement channel</v>
      </c>
      <c r="E130" s="53" t="str">
        <f ca="1">HYPERLINK("#" &amp; CELL("address", 'V1.21'!$C$11), "TIPS")</f>
        <v>TIPS</v>
      </c>
      <c r="F130" s="49" t="str">
        <f>'V1.21'!$D$11</f>
        <v>TIPS</v>
      </c>
      <c r="G130" s="53"/>
    </row>
    <row r="131" spans="1:7" x14ac:dyDescent="0.2">
      <c r="A131">
        <v>130</v>
      </c>
      <c r="B131" t="s">
        <v>1096</v>
      </c>
      <c r="C131" s="53" t="str">
        <f ca="1">HYPERLINK("#" &amp; CELL("address", 'V1.21'!$A$2), "V1.21")</f>
        <v>V1.21</v>
      </c>
      <c r="D131" s="53" t="str">
        <f ca="1">HYPERLINK("#" &amp; CELL("address", 'V1.21'!$C$3), "Settlement channel")</f>
        <v>Settlement channel</v>
      </c>
      <c r="E131" s="53" t="str">
        <f ca="1">HYPERLINK("#" &amp; CELL("address", 'V1.21'!$C$12), "RT1")</f>
        <v>RT1</v>
      </c>
      <c r="F131" s="49" t="str">
        <f>'V1.21'!$D$12</f>
        <v>ERT1</v>
      </c>
      <c r="G131" s="53"/>
    </row>
    <row r="132" spans="1:7" x14ac:dyDescent="0.2">
      <c r="A132">
        <v>131</v>
      </c>
      <c r="B132" t="s">
        <v>1096</v>
      </c>
      <c r="C132" s="53" t="str">
        <f ca="1">HYPERLINK("#" &amp; CELL("address", 'V1.21'!$A$2), "V1.21")</f>
        <v>V1.21</v>
      </c>
      <c r="D132" s="53" t="str">
        <f ca="1">HYPERLINK("#" &amp; CELL("address", 'V1.21'!$C$3), "Settlement channel")</f>
        <v>Settlement channel</v>
      </c>
      <c r="E132" s="53" t="str">
        <f ca="1">HYPERLINK("#" &amp; CELL("address", 'V1.21'!$C$13), "Other instant")</f>
        <v>Other instant</v>
      </c>
      <c r="F132" s="49" t="str">
        <f>'V1.21'!$D$13</f>
        <v>OTHI</v>
      </c>
      <c r="G132" s="53" t="str">
        <f ca="1">HYPERLINK("#" &amp; CELL("address", Concepts!$A$19), "Click here for definition")</f>
        <v>Click here for definition</v>
      </c>
    </row>
    <row r="133" spans="1:7" x14ac:dyDescent="0.2">
      <c r="A133">
        <v>132</v>
      </c>
      <c r="B133" t="s">
        <v>1096</v>
      </c>
      <c r="C133" s="53" t="str">
        <f ca="1">HYPERLINK("#" &amp; CELL("address", 'V1.21'!$A$2), "V1.21")</f>
        <v>V1.21</v>
      </c>
      <c r="D133" s="53" t="str">
        <f ca="1">HYPERLINK("#" &amp; CELL("address", 'V1.21'!$C$3), "Settlement channel")</f>
        <v>Settlement channel</v>
      </c>
      <c r="E133" s="53" t="str">
        <f ca="1">HYPERLINK("#" &amp; CELL("address", 'V1.21'!$C$14), "On-us")</f>
        <v>On-us</v>
      </c>
      <c r="F133" s="49" t="str">
        <f>'V1.21'!$D$14</f>
        <v>ONUS</v>
      </c>
      <c r="G133" s="53" t="str">
        <f ca="1">HYPERLINK("#" &amp; CELL("address", Concepts!$A$20), "Click here for definition")</f>
        <v>Click here for definition</v>
      </c>
    </row>
    <row r="134" spans="1:7" x14ac:dyDescent="0.2">
      <c r="A134">
        <v>133</v>
      </c>
      <c r="B134" t="s">
        <v>1096</v>
      </c>
      <c r="C134" s="53" t="str">
        <f ca="1">HYPERLINK("#" &amp; CELL("address", 'V1.21'!$A$2), "V1.21")</f>
        <v>V1.21</v>
      </c>
      <c r="D134" s="53" t="str">
        <f ca="1">HYPERLINK("#" &amp; CELL("address", 'V1.21'!$C$3), "Settlement channel")</f>
        <v>Settlement channel</v>
      </c>
      <c r="E134" s="53" t="str">
        <f ca="1">HYPERLINK("#" &amp; CELL("address", 'V1.21'!$C$15), "PSP LU")</f>
        <v>PSP LU</v>
      </c>
      <c r="F134" s="49" t="str">
        <f>'V1.21'!$D$15</f>
        <v>PSPL</v>
      </c>
      <c r="G134" s="53" t="str">
        <f ca="1">HYPERLINK("#" &amp; CELL("address", Concepts!$A$23), "Click here for definition")</f>
        <v>Click here for definition</v>
      </c>
    </row>
    <row r="135" spans="1:7" x14ac:dyDescent="0.2">
      <c r="A135">
        <v>134</v>
      </c>
      <c r="B135" t="s">
        <v>1096</v>
      </c>
      <c r="C135" s="53" t="str">
        <f ca="1">HYPERLINK("#" &amp; CELL("address", 'V1.21'!$A$2), "V1.21")</f>
        <v>V1.21</v>
      </c>
      <c r="D135" s="53" t="str">
        <f ca="1">HYPERLINK("#" &amp; CELL("address", 'V1.21'!$C$3), "Settlement channel")</f>
        <v>Settlement channel</v>
      </c>
      <c r="E135" s="53" t="str">
        <f ca="1">HYPERLINK("#" &amp; CELL("address", 'V1.21'!$C$16), "PSP non-LU")</f>
        <v>PSP non-LU</v>
      </c>
      <c r="F135" s="49" t="str">
        <f>'V1.21'!$D$16</f>
        <v>PSPN</v>
      </c>
      <c r="G135" s="53" t="str">
        <f ca="1">HYPERLINK("#" &amp; CELL("address", Concepts!$A$24), "Click here for definition")</f>
        <v>Click here for definition</v>
      </c>
    </row>
    <row r="136" spans="1:7" x14ac:dyDescent="0.2">
      <c r="A136">
        <v>135</v>
      </c>
      <c r="B136" t="s">
        <v>1096</v>
      </c>
      <c r="C136" s="53" t="str">
        <f ca="1">HYPERLINK("#" &amp; CELL("address", 'V1.21'!$A$2), "V1.21")</f>
        <v>V1.21</v>
      </c>
      <c r="D136" s="53" t="str">
        <f ca="1">HYPERLINK("#" &amp; CELL("address", 'V1.21'!$C$3), "Settlement channel")</f>
        <v>Settlement channel</v>
      </c>
      <c r="E136" s="53" t="str">
        <f ca="1">HYPERLINK("#" &amp; CELL("address", 'V1.21'!$C$17), "Other")</f>
        <v>Other</v>
      </c>
      <c r="F136" s="49" t="str">
        <f>'V1.21'!$D$17</f>
        <v>OTHR</v>
      </c>
      <c r="G136" s="53" t="str">
        <f ca="1">HYPERLINK("#" &amp; CELL("address", Concepts!$A$25), "Click here for definition")</f>
        <v>Click here for definition</v>
      </c>
    </row>
    <row r="137" spans="1:7" x14ac:dyDescent="0.2">
      <c r="A137">
        <v>136</v>
      </c>
      <c r="B137" t="s">
        <v>1096</v>
      </c>
      <c r="C137" s="53" t="str">
        <f ca="1">HYPERLINK("#" &amp; CELL("address", 'V1.21'!$A$2), "V1.21")</f>
        <v>V1.21</v>
      </c>
      <c r="D137" s="53" t="str">
        <f ca="1">HYPERLINK("#" &amp; CELL("address", 'V1.21'!$E$3), "Country of debtor's PSP")</f>
        <v>Country of debtor's PSP</v>
      </c>
      <c r="E137" s="53" t="str">
        <f ca="1">HYPERLINK("#" &amp; CELL("address", 'V1.21'!$E$4), "2-letter ISO 3166 country code")</f>
        <v>2-letter ISO 3166 country code</v>
      </c>
      <c r="F137" s="49" t="str">
        <f>'V1.21'!$F$4</f>
        <v>[Geo]</v>
      </c>
      <c r="G137" s="53" t="str">
        <f ca="1">HYPERLINK("#" &amp; CELL("address", Concepts!$A$145), "Click here for definition")</f>
        <v>Click here for definition</v>
      </c>
    </row>
    <row r="138" spans="1:7" x14ac:dyDescent="0.2">
      <c r="A138">
        <v>137</v>
      </c>
      <c r="B138" t="s">
        <v>1096</v>
      </c>
      <c r="C138" s="53" t="str">
        <f ca="1">HYPERLINK("#" &amp; CELL("address", 'V1.21'!$A$2), "V1.21")</f>
        <v>V1.21</v>
      </c>
      <c r="D138" s="53" t="str">
        <f ca="1">HYPERLINK("#" &amp; CELL("address", 'V1.21'!$G$3), "Currency")</f>
        <v>Currency</v>
      </c>
      <c r="E138" s="53" t="str">
        <f ca="1">HYPERLINK("#" &amp; CELL("address", 'V1.21'!$G$4), "3-letter ISO 4217 currency code")</f>
        <v>3-letter ISO 4217 currency code</v>
      </c>
      <c r="F138" s="49" t="str">
        <f>'V1.21'!$H$4</f>
        <v>[Currency]</v>
      </c>
      <c r="G138" s="53" t="str">
        <f ca="1">HYPERLINK("#" &amp; CELL("address", Concepts!$A$146), "Click here for definition")</f>
        <v>Click here for definition</v>
      </c>
    </row>
    <row r="139" spans="1:7" x14ac:dyDescent="0.2">
      <c r="A139">
        <v>138</v>
      </c>
      <c r="B139" t="s">
        <v>1096</v>
      </c>
      <c r="C139" s="53" t="str">
        <f ca="1">HYPERLINK("#" &amp; CELL("address", 'V1.21'!$A$2), "V1.21")</f>
        <v>V1.21</v>
      </c>
      <c r="D139" s="53" t="str">
        <f ca="1">HYPERLINK("#" &amp; CELL("address", 'V1.21'!$I$3), "Metric")</f>
        <v>Metric</v>
      </c>
      <c r="E139" s="53" t="str">
        <f ca="1">HYPERLINK("#" &amp; CELL("address", 'V1.21'!$I$4), "Number of transactions")</f>
        <v>Number of transactions</v>
      </c>
      <c r="F139" s="49" t="str">
        <f>'V1.21'!$J$4</f>
        <v>VOLU</v>
      </c>
      <c r="G139" s="53" t="str">
        <f ca="1">HYPERLINK("#" &amp; CELL("address", Concepts!$A$147), "Click here for definition")</f>
        <v>Click here for definition</v>
      </c>
    </row>
    <row r="140" spans="1:7" x14ac:dyDescent="0.2">
      <c r="A140">
        <v>139</v>
      </c>
      <c r="B140" t="s">
        <v>1096</v>
      </c>
      <c r="C140" s="53" t="str">
        <f ca="1">HYPERLINK("#" &amp; CELL("address", 'V1.21'!$A$2), "V1.21")</f>
        <v>V1.21</v>
      </c>
      <c r="D140" s="53" t="str">
        <f ca="1">HYPERLINK("#" &amp; CELL("address", 'V1.21'!$I$3), "Metric")</f>
        <v>Metric</v>
      </c>
      <c r="E140" s="53" t="str">
        <f ca="1">HYPERLINK("#" &amp; CELL("address", 'V1.21'!$I$5), "Value of transactions")</f>
        <v>Value of transactions</v>
      </c>
      <c r="F140" s="49" t="str">
        <f>'V1.21'!$J$5</f>
        <v>VALE</v>
      </c>
      <c r="G140" s="53" t="str">
        <f ca="1">HYPERLINK("#" &amp; CELL("address", Concepts!$A$148), "Click here for definition")</f>
        <v>Click here for definition</v>
      </c>
    </row>
    <row r="141" spans="1:7" x14ac:dyDescent="0.2">
      <c r="A141">
        <v>140</v>
      </c>
      <c r="B141" t="s">
        <v>1771</v>
      </c>
      <c r="C141" s="53" t="str">
        <f ca="1">HYPERLINK("#" &amp; CELL("address", 'V1.30+V1.30-F'!$A$2), "V1.30")</f>
        <v>V1.30</v>
      </c>
      <c r="D141" s="53" t="str">
        <f ca="1">HYPERLINK("#" &amp; CELL("address", 'V1.30+V1.30-F'!$A$3), "Customer category")</f>
        <v>Customer category</v>
      </c>
      <c r="E141" s="53" t="str">
        <f ca="1">HYPERLINK("#" &amp; CELL("address", 'V1.30+V1.30-F'!$A$5), "Credit institution")</f>
        <v>Credit institution</v>
      </c>
      <c r="F141" s="49" t="str">
        <f>'V1.30+V1.30-F'!$B$5</f>
        <v>CRIN</v>
      </c>
      <c r="G141" s="53" t="str">
        <f ca="1">HYPERLINK("#" &amp; CELL("address", Concepts!$A$7), "Click here for definition")</f>
        <v>Click here for definition</v>
      </c>
    </row>
    <row r="142" spans="1:7" x14ac:dyDescent="0.2">
      <c r="A142">
        <v>141</v>
      </c>
      <c r="B142" t="s">
        <v>1771</v>
      </c>
      <c r="C142" s="53" t="str">
        <f ca="1">HYPERLINK("#" &amp; CELL("address", 'V1.30+V1.30-F'!$A$2), "V1.30")</f>
        <v>V1.30</v>
      </c>
      <c r="D142" s="53" t="str">
        <f ca="1">HYPERLINK("#" &amp; CELL("address", 'V1.30+V1.30-F'!$A$3), "Customer category")</f>
        <v>Customer category</v>
      </c>
      <c r="E142" s="53" t="str">
        <f ca="1">HYPERLINK("#" &amp; CELL("address", 'V1.30+V1.30-F'!$A$6), "Monetary fund")</f>
        <v>Monetary fund</v>
      </c>
      <c r="F142" s="49" t="str">
        <f>'V1.30+V1.30-F'!$B$6</f>
        <v>MOFU</v>
      </c>
      <c r="G142" s="53" t="str">
        <f ca="1">HYPERLINK("#" &amp; CELL("address", Concepts!$A$8), "Click here for definition")</f>
        <v>Click here for definition</v>
      </c>
    </row>
    <row r="143" spans="1:7" x14ac:dyDescent="0.2">
      <c r="A143">
        <v>142</v>
      </c>
      <c r="B143" t="s">
        <v>1771</v>
      </c>
      <c r="C143" s="53" t="str">
        <f ca="1">HYPERLINK("#" &amp; CELL("address", 'V1.30+V1.30-F'!$A$2), "V1.30")</f>
        <v>V1.30</v>
      </c>
      <c r="D143" s="53" t="str">
        <f ca="1">HYPERLINK("#" &amp; CELL("address", 'V1.30+V1.30-F'!$A$3), "Customer category")</f>
        <v>Customer category</v>
      </c>
      <c r="E143" s="53" t="str">
        <f ca="1">HYPERLINK("#" &amp; CELL("address", 'V1.30+V1.30-F'!$A$7), "Electronic money institution")</f>
        <v>Electronic money institution</v>
      </c>
      <c r="F143" s="49" t="str">
        <f>'V1.30+V1.30-F'!$B$7</f>
        <v>ELMI</v>
      </c>
      <c r="G143" s="53" t="str">
        <f ca="1">HYPERLINK("#" &amp; CELL("address", Concepts!$A$9), "Click here for definition")</f>
        <v>Click here for definition</v>
      </c>
    </row>
    <row r="144" spans="1:7" x14ac:dyDescent="0.2">
      <c r="A144">
        <v>143</v>
      </c>
      <c r="B144" t="s">
        <v>1771</v>
      </c>
      <c r="C144" s="53" t="str">
        <f ca="1">HYPERLINK("#" &amp; CELL("address", 'V1.30+V1.30-F'!$A$2), "V1.30")</f>
        <v>V1.30</v>
      </c>
      <c r="D144" s="53" t="str">
        <f ca="1">HYPERLINK("#" &amp; CELL("address", 'V1.30+V1.30-F'!$A$3), "Customer category")</f>
        <v>Customer category</v>
      </c>
      <c r="E144" s="53" t="str">
        <f ca="1">HYPERLINK("#" &amp; CELL("address", 'V1.30+V1.30-F'!$A$8), "Payment institution")</f>
        <v>Payment institution</v>
      </c>
      <c r="F144" s="49" t="str">
        <f>'V1.30+V1.30-F'!$B$8</f>
        <v>PMIN</v>
      </c>
      <c r="G144" s="53" t="str">
        <f ca="1">HYPERLINK("#" &amp; CELL("address", Concepts!$A$13), "Click here for definition")</f>
        <v>Click here for definition</v>
      </c>
    </row>
    <row r="145" spans="1:7" x14ac:dyDescent="0.2">
      <c r="A145">
        <v>144</v>
      </c>
      <c r="B145" t="s">
        <v>1771</v>
      </c>
      <c r="C145" s="53" t="str">
        <f ca="1">HYPERLINK("#" &amp; CELL("address", 'V1.30+V1.30-F'!$A$2), "V1.30")</f>
        <v>V1.30</v>
      </c>
      <c r="D145" s="53" t="str">
        <f ca="1">HYPERLINK("#" &amp; CELL("address", 'V1.30+V1.30-F'!$A$3), "Customer category")</f>
        <v>Customer category</v>
      </c>
      <c r="E145" s="53" t="str">
        <f ca="1">HYPERLINK("#" &amp; CELL("address", 'V1.30+V1.30-F'!$A$9), "Other MFI")</f>
        <v>Other MFI</v>
      </c>
      <c r="F145" s="49" t="str">
        <f>'V1.30+V1.30-F'!$B$9</f>
        <v>OMFI</v>
      </c>
      <c r="G145" s="53" t="str">
        <f ca="1">HYPERLINK("#" &amp; CELL("address", Concepts!$A$10), "Click here for definition")</f>
        <v>Click here for definition</v>
      </c>
    </row>
    <row r="146" spans="1:7" x14ac:dyDescent="0.2">
      <c r="A146">
        <v>145</v>
      </c>
      <c r="B146" t="s">
        <v>1771</v>
      </c>
      <c r="C146" s="53" t="str">
        <f ca="1">HYPERLINK("#" &amp; CELL("address", 'V1.30+V1.30-F'!$A$2), "V1.30")</f>
        <v>V1.30</v>
      </c>
      <c r="D146" s="53" t="str">
        <f ca="1">HYPERLINK("#" &amp; CELL("address", 'V1.30+V1.30-F'!$A$3), "Customer category")</f>
        <v>Customer category</v>
      </c>
      <c r="E146" s="53" t="str">
        <f ca="1">HYPERLINK("#" &amp; CELL("address", 'V1.30+V1.30-F'!$A$11), "Non-monetary fund")</f>
        <v>Non-monetary fund</v>
      </c>
      <c r="F146" s="49" t="str">
        <f>'V1.30+V1.30-F'!$B$11</f>
        <v>NMFU</v>
      </c>
      <c r="G146" s="53" t="str">
        <f ca="1">HYPERLINK("#" &amp; CELL("address", Concepts!$A$12), "Click here for definition")</f>
        <v>Click here for definition</v>
      </c>
    </row>
    <row r="147" spans="1:7" x14ac:dyDescent="0.2">
      <c r="A147">
        <v>146</v>
      </c>
      <c r="B147" t="s">
        <v>1771</v>
      </c>
      <c r="C147" s="53" t="str">
        <f ca="1">HYPERLINK("#" &amp; CELL("address", 'V1.30+V1.30-F'!$A$2), "V1.30")</f>
        <v>V1.30</v>
      </c>
      <c r="D147" s="53" t="str">
        <f ca="1">HYPERLINK("#" &amp; CELL("address", 'V1.30+V1.30-F'!$A$3), "Customer category")</f>
        <v>Customer category</v>
      </c>
      <c r="E147" s="53" t="str">
        <f ca="1">HYPERLINK("#" &amp; CELL("address", 'V1.30+V1.30-F'!$A$12), "Households and NPISHs")</f>
        <v>Households and NPISHs</v>
      </c>
      <c r="F147" s="49" t="str">
        <f>'V1.30+V1.30-F'!$B$12</f>
        <v>HSNP</v>
      </c>
      <c r="G147" s="53" t="str">
        <f ca="1">HYPERLINK("#" &amp; CELL("address", Concepts!$A$14), "Click here for definition")</f>
        <v>Click here for definition</v>
      </c>
    </row>
    <row r="148" spans="1:7" x14ac:dyDescent="0.2">
      <c r="A148">
        <v>147</v>
      </c>
      <c r="B148" t="s">
        <v>1771</v>
      </c>
      <c r="C148" s="53" t="str">
        <f ca="1">HYPERLINK("#" &amp; CELL("address", 'V1.30+V1.30-F'!$A$2), "V1.30")</f>
        <v>V1.30</v>
      </c>
      <c r="D148" s="53" t="str">
        <f ca="1">HYPERLINK("#" &amp; CELL("address", 'V1.30+V1.30-F'!$A$3), "Customer category")</f>
        <v>Customer category</v>
      </c>
      <c r="E148" s="53" t="str">
        <f ca="1">HYPERLINK("#" &amp; CELL("address", 'V1.30+V1.30-F'!$A$13), "Non-financial corporations")</f>
        <v>Non-financial corporations</v>
      </c>
      <c r="F148" s="49" t="str">
        <f>'V1.30+V1.30-F'!$B$13</f>
        <v>CORP</v>
      </c>
      <c r="G148" s="53" t="str">
        <f ca="1">HYPERLINK("#" &amp; CELL("address", Concepts!$A$15), "Click here for definition")</f>
        <v>Click here for definition</v>
      </c>
    </row>
    <row r="149" spans="1:7" x14ac:dyDescent="0.2">
      <c r="A149">
        <v>148</v>
      </c>
      <c r="B149" t="s">
        <v>1771</v>
      </c>
      <c r="C149" s="53" t="str">
        <f ca="1">HYPERLINK("#" &amp; CELL("address", 'V1.30+V1.30-F'!$A$2), "V1.30")</f>
        <v>V1.30</v>
      </c>
      <c r="D149" s="53" t="str">
        <f ca="1">HYPERLINK("#" &amp; CELL("address", 'V1.30+V1.30-F'!$A$3), "Customer category")</f>
        <v>Customer category</v>
      </c>
      <c r="E149" s="53" t="str">
        <f ca="1">HYPERLINK("#" &amp; CELL("address", 'V1.30+V1.30-F'!$A$14), "Other non-MFI")</f>
        <v>Other non-MFI</v>
      </c>
      <c r="F149" s="49" t="str">
        <f>'V1.30+V1.30-F'!$B$14</f>
        <v>ONMF</v>
      </c>
      <c r="G149" s="53" t="str">
        <f ca="1">HYPERLINK("#" &amp; CELL("address", Concepts!$A$16), "Click here for definition")</f>
        <v>Click here for definition</v>
      </c>
    </row>
    <row r="150" spans="1:7" x14ac:dyDescent="0.2">
      <c r="A150">
        <v>149</v>
      </c>
      <c r="B150" t="s">
        <v>1771</v>
      </c>
      <c r="C150" s="53" t="str">
        <f ca="1">HYPERLINK("#" &amp; CELL("address", 'V1.30+V1.30-F'!$A$2), "V1.30")</f>
        <v>V1.30</v>
      </c>
      <c r="D150" s="53" t="str">
        <f ca="1">HYPERLINK("#" &amp; CELL("address", 'V1.30+V1.30-F'!$A$3), "Customer category")</f>
        <v>Customer category</v>
      </c>
      <c r="E150" s="53" t="str">
        <f ca="1">HYPERLINK("#" &amp; CELL("address", 'V1.30+V1.30-F'!$A$15), "Own account operation")</f>
        <v>Own account operation</v>
      </c>
      <c r="F150" s="49" t="str">
        <f>'V1.30+V1.30-F'!$B$15</f>
        <v>OWNA</v>
      </c>
      <c r="G150" s="53" t="str">
        <f ca="1">HYPERLINK("#" &amp; CELL("address", Concepts!$A$17), "Click here for definition")</f>
        <v>Click here for definition</v>
      </c>
    </row>
    <row r="151" spans="1:7" x14ac:dyDescent="0.2">
      <c r="A151">
        <v>150</v>
      </c>
      <c r="B151" t="s">
        <v>1771</v>
      </c>
      <c r="C151" s="53" t="str">
        <f ca="1">HYPERLINK("#" &amp; CELL("address", 'V1.30+V1.30-F'!$A$2), "V1.30")</f>
        <v>V1.30</v>
      </c>
      <c r="D151" s="53" t="str">
        <f ca="1">HYPERLINK("#" &amp; CELL("address", 'V1.30+V1.30-F'!$A$3), "Customer category")</f>
        <v>Customer category</v>
      </c>
      <c r="E151" s="53" t="str">
        <f ca="1">HYPERLINK("#" &amp; CELL("address", 'V1.30+V1.30-F'!$A$16), "Unknown")</f>
        <v>Unknown</v>
      </c>
      <c r="F151" s="49" t="str">
        <f>'V1.30+V1.30-F'!$B$16</f>
        <v>UNKN</v>
      </c>
      <c r="G151" s="53" t="str">
        <f ca="1">HYPERLINK("#" &amp; CELL("address", Concepts!$A$18), "Click here for definition")</f>
        <v>Click here for definition</v>
      </c>
    </row>
    <row r="152" spans="1:7" x14ac:dyDescent="0.2">
      <c r="A152">
        <v>151</v>
      </c>
      <c r="B152" t="s">
        <v>1771</v>
      </c>
      <c r="C152" s="53" t="str">
        <f ca="1">HYPERLINK("#" &amp; CELL("address", 'V1.30+V1.30-F'!$A$2), "V1.30")</f>
        <v>V1.30</v>
      </c>
      <c r="D152" s="53" t="str">
        <f ca="1">HYPERLINK("#" &amp; CELL("address", 'V1.30+V1.30-F'!$C$3), "Settlement channel")</f>
        <v>Settlement channel</v>
      </c>
      <c r="E152" s="53" t="str">
        <f ca="1">HYPERLINK("#" &amp; CELL("address", 'V1.30+V1.30-F'!$C$5), "T2 RTGS")</f>
        <v>T2 RTGS</v>
      </c>
      <c r="F152" s="49" t="str">
        <f>'V1.30+V1.30-F'!$D$5</f>
        <v>TAR2</v>
      </c>
      <c r="G152" s="53"/>
    </row>
    <row r="153" spans="1:7" x14ac:dyDescent="0.2">
      <c r="A153">
        <v>152</v>
      </c>
      <c r="B153" t="s">
        <v>1771</v>
      </c>
      <c r="C153" s="53" t="str">
        <f ca="1">HYPERLINK("#" &amp; CELL("address", 'V1.30+V1.30-F'!$A$2), "V1.30")</f>
        <v>V1.30</v>
      </c>
      <c r="D153" s="53" t="str">
        <f ca="1">HYPERLINK("#" &amp; CELL("address", 'V1.30+V1.30-F'!$C$3), "Settlement channel")</f>
        <v>Settlement channel</v>
      </c>
      <c r="E153" s="53" t="str">
        <f ca="1">HYPERLINK("#" &amp; CELL("address", 'V1.30+V1.30-F'!$C$6), "Euro1")</f>
        <v>Euro1</v>
      </c>
      <c r="F153" s="49" t="str">
        <f>'V1.30+V1.30-F'!$D$6</f>
        <v>EUR1</v>
      </c>
      <c r="G153" s="53"/>
    </row>
    <row r="154" spans="1:7" x14ac:dyDescent="0.2">
      <c r="A154">
        <v>153</v>
      </c>
      <c r="B154" t="s">
        <v>1771</v>
      </c>
      <c r="C154" s="53" t="str">
        <f ca="1">HYPERLINK("#" &amp; CELL("address", 'V1.30+V1.30-F'!$A$2), "V1.30")</f>
        <v>V1.30</v>
      </c>
      <c r="D154" s="53" t="str">
        <f ca="1">HYPERLINK("#" &amp; CELL("address", 'V1.30+V1.30-F'!$C$3), "Settlement channel")</f>
        <v>Settlement channel</v>
      </c>
      <c r="E154" s="53" t="str">
        <f ca="1">HYPERLINK("#" &amp; CELL("address", 'V1.30+V1.30-F'!$C$7), "Step1")</f>
        <v>Step1</v>
      </c>
      <c r="F154" s="49" t="str">
        <f>'V1.30+V1.30-F'!$D$7</f>
        <v>STE1</v>
      </c>
      <c r="G154" s="53"/>
    </row>
    <row r="155" spans="1:7" x14ac:dyDescent="0.2">
      <c r="A155">
        <v>154</v>
      </c>
      <c r="B155" t="s">
        <v>1771</v>
      </c>
      <c r="C155" s="53" t="str">
        <f ca="1">HYPERLINK("#" &amp; CELL("address", 'V1.30+V1.30-F'!$A$2), "V1.30")</f>
        <v>V1.30</v>
      </c>
      <c r="D155" s="53" t="str">
        <f ca="1">HYPERLINK("#" &amp; CELL("address", 'V1.30+V1.30-F'!$C$3), "Settlement channel")</f>
        <v>Settlement channel</v>
      </c>
      <c r="E155" s="53" t="str">
        <f ca="1">HYPERLINK("#" &amp; CELL("address", 'V1.30+V1.30-F'!$C$8), "Step2")</f>
        <v>Step2</v>
      </c>
      <c r="F155" s="49" t="str">
        <f>'V1.30+V1.30-F'!$D$8</f>
        <v>STE2</v>
      </c>
      <c r="G155" s="53"/>
    </row>
    <row r="156" spans="1:7" x14ac:dyDescent="0.2">
      <c r="A156">
        <v>155</v>
      </c>
      <c r="B156" t="s">
        <v>1771</v>
      </c>
      <c r="C156" s="53" t="str">
        <f ca="1">HYPERLINK("#" &amp; CELL("address", 'V1.30+V1.30-F'!$A$2), "V1.30")</f>
        <v>V1.30</v>
      </c>
      <c r="D156" s="53" t="str">
        <f ca="1">HYPERLINK("#" &amp; CELL("address", 'V1.30+V1.30-F'!$C$3), "Settlement channel")</f>
        <v>Settlement channel</v>
      </c>
      <c r="E156" s="53" t="str">
        <f ca="1">HYPERLINK("#" &amp; CELL("address", 'V1.30+V1.30-F'!$C$9), "Equens")</f>
        <v>Equens</v>
      </c>
      <c r="F156" s="49" t="str">
        <f>'V1.30+V1.30-F'!$D$9</f>
        <v>EQUE</v>
      </c>
      <c r="G156" s="53"/>
    </row>
    <row r="157" spans="1:7" x14ac:dyDescent="0.2">
      <c r="A157">
        <v>156</v>
      </c>
      <c r="B157" t="s">
        <v>1771</v>
      </c>
      <c r="C157" s="53" t="str">
        <f ca="1">HYPERLINK("#" &amp; CELL("address", 'V1.30+V1.30-F'!$A$2), "V1.30")</f>
        <v>V1.30</v>
      </c>
      <c r="D157" s="53" t="str">
        <f ca="1">HYPERLINK("#" &amp; CELL("address", 'V1.30+V1.30-F'!$C$3), "Settlement channel")</f>
        <v>Settlement channel</v>
      </c>
      <c r="E157" s="53" t="str">
        <f ca="1">HYPERLINK("#" &amp; CELL("address", 'V1.30+V1.30-F'!$C$10), "On-us")</f>
        <v>On-us</v>
      </c>
      <c r="F157" s="49" t="str">
        <f>'V1.30+V1.30-F'!$D$10</f>
        <v>ONUS</v>
      </c>
      <c r="G157" s="53" t="str">
        <f ca="1">HYPERLINK("#" &amp; CELL("address", Concepts!$A$20), "Click here for definition")</f>
        <v>Click here for definition</v>
      </c>
    </row>
    <row r="158" spans="1:7" x14ac:dyDescent="0.2">
      <c r="A158">
        <v>157</v>
      </c>
      <c r="B158" t="s">
        <v>1771</v>
      </c>
      <c r="C158" s="53" t="str">
        <f ca="1">HYPERLINK("#" &amp; CELL("address", 'V1.30+V1.30-F'!$A$2), "V1.30")</f>
        <v>V1.30</v>
      </c>
      <c r="D158" s="53" t="str">
        <f ca="1">HYPERLINK("#" &amp; CELL("address", 'V1.30+V1.30-F'!$C$3), "Settlement channel")</f>
        <v>Settlement channel</v>
      </c>
      <c r="E158" s="53" t="str">
        <f ca="1">HYPERLINK("#" &amp; CELL("address", 'V1.30+V1.30-F'!$C$11), "PSP LU")</f>
        <v>PSP LU</v>
      </c>
      <c r="F158" s="49" t="str">
        <f>'V1.30+V1.30-F'!$D$11</f>
        <v>PSPL</v>
      </c>
      <c r="G158" s="53" t="str">
        <f ca="1">HYPERLINK("#" &amp; CELL("address", Concepts!$A$23), "Click here for definition")</f>
        <v>Click here for definition</v>
      </c>
    </row>
    <row r="159" spans="1:7" x14ac:dyDescent="0.2">
      <c r="A159">
        <v>158</v>
      </c>
      <c r="B159" t="s">
        <v>1771</v>
      </c>
      <c r="C159" s="53" t="str">
        <f ca="1">HYPERLINK("#" &amp; CELL("address", 'V1.30+V1.30-F'!$A$2), "V1.30")</f>
        <v>V1.30</v>
      </c>
      <c r="D159" s="53" t="str">
        <f ca="1">HYPERLINK("#" &amp; CELL("address", 'V1.30+V1.30-F'!$C$3), "Settlement channel")</f>
        <v>Settlement channel</v>
      </c>
      <c r="E159" s="53" t="str">
        <f ca="1">HYPERLINK("#" &amp; CELL("address", 'V1.30+V1.30-F'!$C$12), "PSP non-LU")</f>
        <v>PSP non-LU</v>
      </c>
      <c r="F159" s="49" t="str">
        <f>'V1.30+V1.30-F'!$D$12</f>
        <v>PSPN</v>
      </c>
      <c r="G159" s="53" t="str">
        <f ca="1">HYPERLINK("#" &amp; CELL("address", Concepts!$A$24), "Click here for definition")</f>
        <v>Click here for definition</v>
      </c>
    </row>
    <row r="160" spans="1:7" x14ac:dyDescent="0.2">
      <c r="A160">
        <v>159</v>
      </c>
      <c r="B160" t="s">
        <v>1771</v>
      </c>
      <c r="C160" s="53" t="str">
        <f ca="1">HYPERLINK("#" &amp; CELL("address", 'V1.30+V1.30-F'!$A$2), "V1.30")</f>
        <v>V1.30</v>
      </c>
      <c r="D160" s="53" t="str">
        <f ca="1">HYPERLINK("#" &amp; CELL("address", 'V1.30+V1.30-F'!$C$3), "Settlement channel")</f>
        <v>Settlement channel</v>
      </c>
      <c r="E160" s="53" t="str">
        <f ca="1">HYPERLINK("#" &amp; CELL("address", 'V1.30+V1.30-F'!$C$13), "Other")</f>
        <v>Other</v>
      </c>
      <c r="F160" s="49" t="str">
        <f>'V1.30+V1.30-F'!$D$13</f>
        <v>OTHR</v>
      </c>
      <c r="G160" s="53" t="str">
        <f ca="1">HYPERLINK("#" &amp; CELL("address", Concepts!$A$25), "Click here for definition")</f>
        <v>Click here for definition</v>
      </c>
    </row>
    <row r="161" spans="1:7" x14ac:dyDescent="0.2">
      <c r="A161">
        <v>160</v>
      </c>
      <c r="B161" t="s">
        <v>1771</v>
      </c>
      <c r="C161" s="53" t="str">
        <f ca="1">HYPERLINK("#" &amp; CELL("address", 'V1.30+V1.30-F'!$A$2), "V1.30")</f>
        <v>V1.30</v>
      </c>
      <c r="D161" s="53" t="str">
        <f ca="1">HYPERLINK("#" &amp; CELL("address", 'V1.30+V1.30-F'!$E$3), "Payment scheme")</f>
        <v>Payment scheme</v>
      </c>
      <c r="E161" s="53" t="str">
        <f ca="1">HYPERLINK("#" &amp; CELL("address", 'V1.30+V1.30-F'!$E$4), "SEPA Direct Debit Core")</f>
        <v>SEPA Direct Debit Core</v>
      </c>
      <c r="F161" s="49" t="str">
        <f>'V1.30+V1.30-F'!$F$4</f>
        <v>SCOR</v>
      </c>
      <c r="G161" s="53" t="str">
        <f ca="1">HYPERLINK("#" &amp; CELL("address", Concepts!$A$67), "Click here for definition")</f>
        <v>Click here for definition</v>
      </c>
    </row>
    <row r="162" spans="1:7" x14ac:dyDescent="0.2">
      <c r="A162">
        <v>161</v>
      </c>
      <c r="B162" t="s">
        <v>1771</v>
      </c>
      <c r="C162" s="53" t="str">
        <f ca="1">HYPERLINK("#" &amp; CELL("address", 'V1.30+V1.30-F'!$A$2), "V1.30")</f>
        <v>V1.30</v>
      </c>
      <c r="D162" s="53" t="str">
        <f ca="1">HYPERLINK("#" &amp; CELL("address", 'V1.30+V1.30-F'!$E$3), "Payment scheme")</f>
        <v>Payment scheme</v>
      </c>
      <c r="E162" s="53" t="str">
        <f ca="1">HYPERLINK("#" &amp; CELL("address", 'V1.30+V1.30-F'!$E$5), "SEPA Direct Debit B2B")</f>
        <v>SEPA Direct Debit B2B</v>
      </c>
      <c r="F162" s="49" t="str">
        <f>'V1.30+V1.30-F'!$F$5</f>
        <v>SB2B</v>
      </c>
      <c r="G162" s="53" t="str">
        <f ca="1">HYPERLINK("#" &amp; CELL("address", Concepts!$A$68), "Click here for definition")</f>
        <v>Click here for definition</v>
      </c>
    </row>
    <row r="163" spans="1:7" x14ac:dyDescent="0.2">
      <c r="A163">
        <v>162</v>
      </c>
      <c r="B163" t="s">
        <v>1771</v>
      </c>
      <c r="C163" s="53" t="str">
        <f ca="1">HYPERLINK("#" &amp; CELL("address", 'V1.30+V1.30-F'!$A$2), "V1.30")</f>
        <v>V1.30</v>
      </c>
      <c r="D163" s="53" t="str">
        <f ca="1">HYPERLINK("#" &amp; CELL("address", 'V1.30+V1.30-F'!$E$3), "Payment scheme")</f>
        <v>Payment scheme</v>
      </c>
      <c r="E163" s="53" t="str">
        <f ca="1">HYPERLINK("#" &amp; CELL("address", 'V1.30+V1.30-F'!$E$6), "Non-SEPA scheme")</f>
        <v>Non-SEPA scheme</v>
      </c>
      <c r="F163" s="49" t="str">
        <f>'V1.30+V1.30-F'!$F$6</f>
        <v>NSEP</v>
      </c>
      <c r="G163" s="53" t="str">
        <f ca="1">HYPERLINK("#" &amp; CELL("address", Concepts!$A$28), "Click here for definition")</f>
        <v>Click here for definition</v>
      </c>
    </row>
    <row r="164" spans="1:7" x14ac:dyDescent="0.2">
      <c r="A164">
        <v>163</v>
      </c>
      <c r="B164" t="s">
        <v>1771</v>
      </c>
      <c r="C164" s="53" t="str">
        <f ca="1">HYPERLINK("#" &amp; CELL("address", 'V1.30+V1.30-F'!$A$2), "V1.30")</f>
        <v>V1.30</v>
      </c>
      <c r="D164" s="53" t="str">
        <f ca="1">HYPERLINK("#" &amp; CELL("address", 'V1.30+V1.30-F'!$E$3), "Payment scheme")</f>
        <v>Payment scheme</v>
      </c>
      <c r="E164" s="53" t="str">
        <f ca="1">HYPERLINK("#" &amp; CELL("address", 'V1.30+V1.30-F'!$E$7), "Not applicable")</f>
        <v>Not applicable</v>
      </c>
      <c r="F164" s="49" t="str">
        <f>'V1.30+V1.30-F'!$F$7</f>
        <v>NOAP</v>
      </c>
      <c r="G164" s="53" t="str">
        <f ca="1">HYPERLINK("#" &amp; CELL("address", Concepts!$A$29), "Click here for definition")</f>
        <v>Click here for definition</v>
      </c>
    </row>
    <row r="165" spans="1:7" x14ac:dyDescent="0.2">
      <c r="A165">
        <v>164</v>
      </c>
      <c r="B165" t="s">
        <v>1771</v>
      </c>
      <c r="C165" s="53" t="str">
        <f ca="1">HYPERLINK("#" &amp; CELL("address", 'V1.30+V1.30-F'!$A$2), "V1.30")</f>
        <v>V1.30</v>
      </c>
      <c r="D165" s="53" t="str">
        <f ca="1">HYPERLINK("#" &amp; CELL("address", 'V1.30+V1.30-F'!$G$3), "Initiation channel")</f>
        <v>Initiation channel</v>
      </c>
      <c r="E165" s="53" t="str">
        <f ca="1">HYPERLINK("#" &amp; CELL("address", 'V1.30+V1.30-F'!$G$4), "Electronic file/batch")</f>
        <v>Electronic file/batch</v>
      </c>
      <c r="F165" s="49" t="str">
        <f>'V1.30+V1.30-F'!$H$4</f>
        <v>ELFB</v>
      </c>
      <c r="G165" s="53" t="str">
        <f ca="1">HYPERLINK("#" &amp; CELL("address", Concepts!$A$32), "Click here for definition")</f>
        <v>Click here for definition</v>
      </c>
    </row>
    <row r="166" spans="1:7" x14ac:dyDescent="0.2">
      <c r="A166">
        <v>165</v>
      </c>
      <c r="B166" t="s">
        <v>1771</v>
      </c>
      <c r="C166" s="53" t="str">
        <f ca="1">HYPERLINK("#" &amp; CELL("address", 'V1.30+V1.30-F'!$A$2), "V1.30")</f>
        <v>V1.30</v>
      </c>
      <c r="D166" s="53" t="str">
        <f ca="1">HYPERLINK("#" &amp; CELL("address", 'V1.30+V1.30-F'!$G$3), "Initiation channel")</f>
        <v>Initiation channel</v>
      </c>
      <c r="E166" s="53" t="str">
        <f ca="1">HYPERLINK("#" &amp; CELL("address", 'V1.30+V1.30-F'!$G$5), "Electronic single")</f>
        <v>Electronic single</v>
      </c>
      <c r="F166" s="49" t="str">
        <f>'V1.30+V1.30-F'!$H$5</f>
        <v>ELSI</v>
      </c>
      <c r="G166" s="53" t="str">
        <f ca="1">HYPERLINK("#" &amp; CELL("address", Concepts!$A$31), "Click here for definition")</f>
        <v>Click here for definition</v>
      </c>
    </row>
    <row r="167" spans="1:7" x14ac:dyDescent="0.2">
      <c r="A167">
        <v>166</v>
      </c>
      <c r="B167" t="s">
        <v>1771</v>
      </c>
      <c r="C167" s="53" t="str">
        <f ca="1">HYPERLINK("#" &amp; CELL("address", 'V1.30+V1.30-F'!$A$2), "V1.30")</f>
        <v>V1.30</v>
      </c>
      <c r="D167" s="53" t="str">
        <f ca="1">HYPERLINK("#" &amp; CELL("address", 'V1.30+V1.30-F'!$I$3), "Consent form")</f>
        <v>Consent form</v>
      </c>
      <c r="E167" s="53" t="str">
        <f ca="1">HYPERLINK("#" &amp; CELL("address", 'V1.30+V1.30-F'!$I$4), "Consent given via electronic mandate")</f>
        <v>Consent given via electronic mandate</v>
      </c>
      <c r="F167" s="49" t="str">
        <f>'V1.30+V1.30-F'!$J$4</f>
        <v>ELMA</v>
      </c>
      <c r="G167" s="53" t="str">
        <f ca="1">HYPERLINK("#" &amp; CELL("address", Concepts!$A$69), "Click here for definition")</f>
        <v>Click here for definition</v>
      </c>
    </row>
    <row r="168" spans="1:7" x14ac:dyDescent="0.2">
      <c r="A168">
        <v>167</v>
      </c>
      <c r="B168" t="s">
        <v>1771</v>
      </c>
      <c r="C168" s="53" t="str">
        <f ca="1">HYPERLINK("#" &amp; CELL("address", 'V1.30+V1.30-F'!$A$2), "V1.30")</f>
        <v>V1.30</v>
      </c>
      <c r="D168" s="53" t="str">
        <f ca="1">HYPERLINK("#" &amp; CELL("address", 'V1.30+V1.30-F'!$I$3), "Consent form")</f>
        <v>Consent form</v>
      </c>
      <c r="E168" s="53" t="str">
        <f ca="1">HYPERLINK("#" &amp; CELL("address", 'V1.30+V1.30-F'!$I$5), "Consent given in other forms / unknown")</f>
        <v>Consent given in other forms / unknown</v>
      </c>
      <c r="F168" s="49" t="str">
        <f>'V1.30+V1.30-F'!$J$5</f>
        <v>COTH</v>
      </c>
      <c r="G168" s="53" t="str">
        <f ca="1">HYPERLINK("#" &amp; CELL("address", Concepts!$A$70), "Click here for definition")</f>
        <v>Click here for definition</v>
      </c>
    </row>
    <row r="169" spans="1:7" x14ac:dyDescent="0.2">
      <c r="A169">
        <v>168</v>
      </c>
      <c r="B169" t="s">
        <v>1771</v>
      </c>
      <c r="C169" s="53" t="str">
        <f ca="1">HYPERLINK("#" &amp; CELL("address", 'V1.30+V1.30-F'!$A$2), "V1.30")</f>
        <v>V1.30</v>
      </c>
      <c r="D169" s="53" t="str">
        <f ca="1">HYPERLINK("#" &amp; CELL("address", 'V1.30+V1.30-F'!$K$3), "Fraud type")</f>
        <v>Fraud type</v>
      </c>
      <c r="E169" s="53" t="str">
        <f ca="1">HYPERLINK("#" &amp; CELL("address", 'V1.30+V1.30-F'!$K$4), "Not applicable")</f>
        <v>Not applicable</v>
      </c>
      <c r="F169" s="49" t="str">
        <f>'V1.30+V1.30-F'!$L$4</f>
        <v>NOAP</v>
      </c>
      <c r="G169" s="53" t="str">
        <f ca="1">HYPERLINK("#" &amp; CELL("address", Concepts!$A$59), "Click here for definition")</f>
        <v>Click here for definition</v>
      </c>
    </row>
    <row r="170" spans="1:7" x14ac:dyDescent="0.2">
      <c r="A170">
        <v>169</v>
      </c>
      <c r="B170" t="s">
        <v>1771</v>
      </c>
      <c r="C170" s="53" t="str">
        <f ca="1">HYPERLINK("#" &amp; CELL("address", 'V1.30+V1.30-F'!$A$2), "V1.30")</f>
        <v>V1.30</v>
      </c>
      <c r="D170" s="53" t="str">
        <f ca="1">HYPERLINK("#" &amp; CELL("address", 'V1.30+V1.30-F'!$M$3), "Country of debtor's PSP")</f>
        <v>Country of debtor's PSP</v>
      </c>
      <c r="E170" s="53" t="str">
        <f ca="1">HYPERLINK("#" &amp; CELL("address", 'V1.30+V1.30-F'!$M$4), "2-letter ISO 3166 country code")</f>
        <v>2-letter ISO 3166 country code</v>
      </c>
      <c r="F170" s="49" t="str">
        <f>'V1.30+V1.30-F'!$N$4</f>
        <v>[Geo]</v>
      </c>
      <c r="G170" s="53" t="str">
        <f ca="1">HYPERLINK("#" &amp; CELL("address", Concepts!$A$145), "Click here for definition")</f>
        <v>Click here for definition</v>
      </c>
    </row>
    <row r="171" spans="1:7" x14ac:dyDescent="0.2">
      <c r="A171">
        <v>170</v>
      </c>
      <c r="B171" t="s">
        <v>1771</v>
      </c>
      <c r="C171" s="53" t="str">
        <f ca="1">HYPERLINK("#" &amp; CELL("address", 'V1.30+V1.30-F'!$A$2), "V1.30")</f>
        <v>V1.30</v>
      </c>
      <c r="D171" s="53" t="str">
        <f ca="1">HYPERLINK("#" &amp; CELL("address", 'V1.30+V1.30-F'!$O$3), "Currency")</f>
        <v>Currency</v>
      </c>
      <c r="E171" s="53" t="str">
        <f ca="1">HYPERLINK("#" &amp; CELL("address", 'V1.30+V1.30-F'!$O$4), "3-letter ISO 4217 currency code")</f>
        <v>3-letter ISO 4217 currency code</v>
      </c>
      <c r="F171" s="49" t="str">
        <f>'V1.30+V1.30-F'!$P$4</f>
        <v>[Currency]</v>
      </c>
      <c r="G171" s="53" t="str">
        <f ca="1">HYPERLINK("#" &amp; CELL("address", Concepts!$A$146), "Click here for definition")</f>
        <v>Click here for definition</v>
      </c>
    </row>
    <row r="172" spans="1:7" x14ac:dyDescent="0.2">
      <c r="A172">
        <v>171</v>
      </c>
      <c r="B172" t="s">
        <v>1771</v>
      </c>
      <c r="C172" s="53" t="str">
        <f ca="1">HYPERLINK("#" &amp; CELL("address", 'V1.30+V1.30-F'!$A$2), "V1.30")</f>
        <v>V1.30</v>
      </c>
      <c r="D172" s="53" t="str">
        <f ca="1">HYPERLINK("#" &amp; CELL("address", 'V1.30+V1.30-F'!$Q$3), "Metric")</f>
        <v>Metric</v>
      </c>
      <c r="E172" s="53" t="str">
        <f ca="1">HYPERLINK("#" &amp; CELL("address", 'V1.30+V1.30-F'!$Q$4), "Number of transactions")</f>
        <v>Number of transactions</v>
      </c>
      <c r="F172" s="49" t="str">
        <f>'V1.30+V1.30-F'!$R$4</f>
        <v>VOLU</v>
      </c>
      <c r="G172" s="53" t="str">
        <f ca="1">HYPERLINK("#" &amp; CELL("address", Concepts!$A$147), "Click here for definition")</f>
        <v>Click here for definition</v>
      </c>
    </row>
    <row r="173" spans="1:7" x14ac:dyDescent="0.2">
      <c r="A173">
        <v>172</v>
      </c>
      <c r="B173" t="s">
        <v>1771</v>
      </c>
      <c r="C173" s="53" t="str">
        <f ca="1">HYPERLINK("#" &amp; CELL("address", 'V1.30+V1.30-F'!$A$2), "V1.30")</f>
        <v>V1.30</v>
      </c>
      <c r="D173" s="53" t="str">
        <f ca="1">HYPERLINK("#" &amp; CELL("address", 'V1.30+V1.30-F'!$Q$3), "Metric")</f>
        <v>Metric</v>
      </c>
      <c r="E173" s="53" t="str">
        <f ca="1">HYPERLINK("#" &amp; CELL("address", 'V1.30+V1.30-F'!$Q$5), "Value of transactions")</f>
        <v>Value of transactions</v>
      </c>
      <c r="F173" s="49" t="str">
        <f>'V1.30+V1.30-F'!$R$5</f>
        <v>VALE</v>
      </c>
      <c r="G173" s="53" t="str">
        <f ca="1">HYPERLINK("#" &amp; CELL("address", Concepts!$A$148), "Click here for definition")</f>
        <v>Click here for definition</v>
      </c>
    </row>
    <row r="174" spans="1:7" x14ac:dyDescent="0.2">
      <c r="A174">
        <v>173</v>
      </c>
      <c r="B174" t="s">
        <v>1771</v>
      </c>
      <c r="C174" s="53" t="str">
        <f ca="1">HYPERLINK("#" &amp; CELL("address", 'V1.30+V1.30-F'!$A$23), "V1.30-F")</f>
        <v>V1.30-F</v>
      </c>
      <c r="D174" s="53" t="str">
        <f ca="1">HYPERLINK("#" &amp; CELL("address", 'V1.30+V1.30-F'!$A$3), "Customer category")</f>
        <v>Customer category</v>
      </c>
      <c r="E174" s="53" t="str">
        <f ca="1">HYPERLINK("#" &amp; CELL("address", 'V1.30+V1.30-F'!$A$5), "Credit institution")</f>
        <v>Credit institution</v>
      </c>
      <c r="F174" s="49" t="str">
        <f>'V1.30+V1.30-F'!$B$5</f>
        <v>CRIN</v>
      </c>
      <c r="G174" s="53" t="str">
        <f ca="1">HYPERLINK("#" &amp; CELL("address", Concepts!$A$7), "Click here for definition")</f>
        <v>Click here for definition</v>
      </c>
    </row>
    <row r="175" spans="1:7" x14ac:dyDescent="0.2">
      <c r="A175">
        <v>174</v>
      </c>
      <c r="B175" t="s">
        <v>1771</v>
      </c>
      <c r="C175" s="53" t="str">
        <f ca="1">HYPERLINK("#" &amp; CELL("address", 'V1.30+V1.30-F'!$A$23), "V1.30-F")</f>
        <v>V1.30-F</v>
      </c>
      <c r="D175" s="53" t="str">
        <f ca="1">HYPERLINK("#" &amp; CELL("address", 'V1.30+V1.30-F'!$A$3), "Customer category")</f>
        <v>Customer category</v>
      </c>
      <c r="E175" s="53" t="str">
        <f ca="1">HYPERLINK("#" &amp; CELL("address", 'V1.30+V1.30-F'!$A$6), "Monetary fund")</f>
        <v>Monetary fund</v>
      </c>
      <c r="F175" s="49" t="str">
        <f>'V1.30+V1.30-F'!$B$6</f>
        <v>MOFU</v>
      </c>
      <c r="G175" s="53" t="str">
        <f ca="1">HYPERLINK("#" &amp; CELL("address", Concepts!$A$8), "Click here for definition")</f>
        <v>Click here for definition</v>
      </c>
    </row>
    <row r="176" spans="1:7" x14ac:dyDescent="0.2">
      <c r="A176">
        <v>175</v>
      </c>
      <c r="B176" t="s">
        <v>1771</v>
      </c>
      <c r="C176" s="53" t="str">
        <f ca="1">HYPERLINK("#" &amp; CELL("address", 'V1.30+V1.30-F'!$A$23), "V1.30-F")</f>
        <v>V1.30-F</v>
      </c>
      <c r="D176" s="53" t="str">
        <f ca="1">HYPERLINK("#" &amp; CELL("address", 'V1.30+V1.30-F'!$A$3), "Customer category")</f>
        <v>Customer category</v>
      </c>
      <c r="E176" s="53" t="str">
        <f ca="1">HYPERLINK("#" &amp; CELL("address", 'V1.30+V1.30-F'!$A$7), "Electronic money institution")</f>
        <v>Electronic money institution</v>
      </c>
      <c r="F176" s="49" t="str">
        <f>'V1.30+V1.30-F'!$B$7</f>
        <v>ELMI</v>
      </c>
      <c r="G176" s="53" t="str">
        <f ca="1">HYPERLINK("#" &amp; CELL("address", Concepts!$A$9), "Click here for definition")</f>
        <v>Click here for definition</v>
      </c>
    </row>
    <row r="177" spans="1:7" x14ac:dyDescent="0.2">
      <c r="A177">
        <v>176</v>
      </c>
      <c r="B177" t="s">
        <v>1771</v>
      </c>
      <c r="C177" s="53" t="str">
        <f ca="1">HYPERLINK("#" &amp; CELL("address", 'V1.30+V1.30-F'!$A$23), "V1.30-F")</f>
        <v>V1.30-F</v>
      </c>
      <c r="D177" s="53" t="str">
        <f ca="1">HYPERLINK("#" &amp; CELL("address", 'V1.30+V1.30-F'!$A$3), "Customer category")</f>
        <v>Customer category</v>
      </c>
      <c r="E177" s="53" t="str">
        <f ca="1">HYPERLINK("#" &amp; CELL("address", 'V1.30+V1.30-F'!$A$8), "Payment institution")</f>
        <v>Payment institution</v>
      </c>
      <c r="F177" s="49" t="str">
        <f>'V1.30+V1.30-F'!$B$8</f>
        <v>PMIN</v>
      </c>
      <c r="G177" s="53" t="str">
        <f ca="1">HYPERLINK("#" &amp; CELL("address", Concepts!$A$13), "Click here for definition")</f>
        <v>Click here for definition</v>
      </c>
    </row>
    <row r="178" spans="1:7" x14ac:dyDescent="0.2">
      <c r="A178">
        <v>177</v>
      </c>
      <c r="B178" t="s">
        <v>1771</v>
      </c>
      <c r="C178" s="53" t="str">
        <f ca="1">HYPERLINK("#" &amp; CELL("address", 'V1.30+V1.30-F'!$A$23), "V1.30-F")</f>
        <v>V1.30-F</v>
      </c>
      <c r="D178" s="53" t="str">
        <f ca="1">HYPERLINK("#" &amp; CELL("address", 'V1.30+V1.30-F'!$A$3), "Customer category")</f>
        <v>Customer category</v>
      </c>
      <c r="E178" s="53" t="str">
        <f ca="1">HYPERLINK("#" &amp; CELL("address", 'V1.30+V1.30-F'!$A$9), "Other MFI")</f>
        <v>Other MFI</v>
      </c>
      <c r="F178" s="49" t="str">
        <f>'V1.30+V1.30-F'!$B$9</f>
        <v>OMFI</v>
      </c>
      <c r="G178" s="53" t="str">
        <f ca="1">HYPERLINK("#" &amp; CELL("address", Concepts!$A$10), "Click here for definition")</f>
        <v>Click here for definition</v>
      </c>
    </row>
    <row r="179" spans="1:7" x14ac:dyDescent="0.2">
      <c r="A179">
        <v>178</v>
      </c>
      <c r="B179" t="s">
        <v>1771</v>
      </c>
      <c r="C179" s="53" t="str">
        <f ca="1">HYPERLINK("#" &amp; CELL("address", 'V1.30+V1.30-F'!$A$23), "V1.30-F")</f>
        <v>V1.30-F</v>
      </c>
      <c r="D179" s="53" t="str">
        <f ca="1">HYPERLINK("#" &amp; CELL("address", 'V1.30+V1.30-F'!$A$3), "Customer category")</f>
        <v>Customer category</v>
      </c>
      <c r="E179" s="53" t="str">
        <f ca="1">HYPERLINK("#" &amp; CELL("address", 'V1.30+V1.30-F'!$A$11), "Non-monetary fund")</f>
        <v>Non-monetary fund</v>
      </c>
      <c r="F179" s="49" t="str">
        <f>'V1.30+V1.30-F'!$B$11</f>
        <v>NMFU</v>
      </c>
      <c r="G179" s="53" t="str">
        <f ca="1">HYPERLINK("#" &amp; CELL("address", Concepts!$A$12), "Click here for definition")</f>
        <v>Click here for definition</v>
      </c>
    </row>
    <row r="180" spans="1:7" x14ac:dyDescent="0.2">
      <c r="A180">
        <v>179</v>
      </c>
      <c r="B180" t="s">
        <v>1771</v>
      </c>
      <c r="C180" s="53" t="str">
        <f ca="1">HYPERLINK("#" &amp; CELL("address", 'V1.30+V1.30-F'!$A$23), "V1.30-F")</f>
        <v>V1.30-F</v>
      </c>
      <c r="D180" s="53" t="str">
        <f ca="1">HYPERLINK("#" &amp; CELL("address", 'V1.30+V1.30-F'!$A$3), "Customer category")</f>
        <v>Customer category</v>
      </c>
      <c r="E180" s="53" t="str">
        <f ca="1">HYPERLINK("#" &amp; CELL("address", 'V1.30+V1.30-F'!$A$12), "Households and NPISHs")</f>
        <v>Households and NPISHs</v>
      </c>
      <c r="F180" s="49" t="str">
        <f>'V1.30+V1.30-F'!$B$12</f>
        <v>HSNP</v>
      </c>
      <c r="G180" s="53" t="str">
        <f ca="1">HYPERLINK("#" &amp; CELL("address", Concepts!$A$14), "Click here for definition")</f>
        <v>Click here for definition</v>
      </c>
    </row>
    <row r="181" spans="1:7" x14ac:dyDescent="0.2">
      <c r="A181">
        <v>180</v>
      </c>
      <c r="B181" t="s">
        <v>1771</v>
      </c>
      <c r="C181" s="53" t="str">
        <f ca="1">HYPERLINK("#" &amp; CELL("address", 'V1.30+V1.30-F'!$A$23), "V1.30-F")</f>
        <v>V1.30-F</v>
      </c>
      <c r="D181" s="53" t="str">
        <f ca="1">HYPERLINK("#" &amp; CELL("address", 'V1.30+V1.30-F'!$A$3), "Customer category")</f>
        <v>Customer category</v>
      </c>
      <c r="E181" s="53" t="str">
        <f ca="1">HYPERLINK("#" &amp; CELL("address", 'V1.30+V1.30-F'!$A$13), "Non-financial corporations")</f>
        <v>Non-financial corporations</v>
      </c>
      <c r="F181" s="49" t="str">
        <f>'V1.30+V1.30-F'!$B$13</f>
        <v>CORP</v>
      </c>
      <c r="G181" s="53" t="str">
        <f ca="1">HYPERLINK("#" &amp; CELL("address", Concepts!$A$15), "Click here for definition")</f>
        <v>Click here for definition</v>
      </c>
    </row>
    <row r="182" spans="1:7" x14ac:dyDescent="0.2">
      <c r="A182">
        <v>181</v>
      </c>
      <c r="B182" t="s">
        <v>1771</v>
      </c>
      <c r="C182" s="53" t="str">
        <f ca="1">HYPERLINK("#" &amp; CELL("address", 'V1.30+V1.30-F'!$A$23), "V1.30-F")</f>
        <v>V1.30-F</v>
      </c>
      <c r="D182" s="53" t="str">
        <f ca="1">HYPERLINK("#" &amp; CELL("address", 'V1.30+V1.30-F'!$A$3), "Customer category")</f>
        <v>Customer category</v>
      </c>
      <c r="E182" s="53" t="str">
        <f ca="1">HYPERLINK("#" &amp; CELL("address", 'V1.30+V1.30-F'!$A$14), "Other non-MFI")</f>
        <v>Other non-MFI</v>
      </c>
      <c r="F182" s="49" t="str">
        <f>'V1.30+V1.30-F'!$B$14</f>
        <v>ONMF</v>
      </c>
      <c r="G182" s="53" t="str">
        <f ca="1">HYPERLINK("#" &amp; CELL("address", Concepts!$A$16), "Click here for definition")</f>
        <v>Click here for definition</v>
      </c>
    </row>
    <row r="183" spans="1:7" x14ac:dyDescent="0.2">
      <c r="A183">
        <v>182</v>
      </c>
      <c r="B183" t="s">
        <v>1771</v>
      </c>
      <c r="C183" s="53" t="str">
        <f ca="1">HYPERLINK("#" &amp; CELL("address", 'V1.30+V1.30-F'!$A$23), "V1.30-F")</f>
        <v>V1.30-F</v>
      </c>
      <c r="D183" s="53" t="str">
        <f ca="1">HYPERLINK("#" &amp; CELL("address", 'V1.30+V1.30-F'!$A$3), "Customer category")</f>
        <v>Customer category</v>
      </c>
      <c r="E183" s="53" t="str">
        <f ca="1">HYPERLINK("#" &amp; CELL("address", 'V1.30+V1.30-F'!$A$15), "Own account operation")</f>
        <v>Own account operation</v>
      </c>
      <c r="F183" s="49" t="str">
        <f>'V1.30+V1.30-F'!$B$15</f>
        <v>OWNA</v>
      </c>
      <c r="G183" s="53" t="str">
        <f ca="1">HYPERLINK("#" &amp; CELL("address", Concepts!$A$17), "Click here for definition")</f>
        <v>Click here for definition</v>
      </c>
    </row>
    <row r="184" spans="1:7" x14ac:dyDescent="0.2">
      <c r="A184">
        <v>183</v>
      </c>
      <c r="B184" t="s">
        <v>1771</v>
      </c>
      <c r="C184" s="53" t="str">
        <f ca="1">HYPERLINK("#" &amp; CELL("address", 'V1.30+V1.30-F'!$A$23), "V1.30-F")</f>
        <v>V1.30-F</v>
      </c>
      <c r="D184" s="53" t="str">
        <f ca="1">HYPERLINK("#" &amp; CELL("address", 'V1.30+V1.30-F'!$A$3), "Customer category")</f>
        <v>Customer category</v>
      </c>
      <c r="E184" s="53" t="str">
        <f ca="1">HYPERLINK("#" &amp; CELL("address", 'V1.30+V1.30-F'!$A$16), "Unknown")</f>
        <v>Unknown</v>
      </c>
      <c r="F184" s="49" t="str">
        <f>'V1.30+V1.30-F'!$B$16</f>
        <v>UNKN</v>
      </c>
      <c r="G184" s="53" t="str">
        <f ca="1">HYPERLINK("#" &amp; CELL("address", Concepts!$A$18), "Click here for definition")</f>
        <v>Click here for definition</v>
      </c>
    </row>
    <row r="185" spans="1:7" x14ac:dyDescent="0.2">
      <c r="A185">
        <v>184</v>
      </c>
      <c r="B185" t="s">
        <v>1771</v>
      </c>
      <c r="C185" s="53" t="str">
        <f ca="1">HYPERLINK("#" &amp; CELL("address", 'V1.30+V1.30-F'!$A$23), "V1.30-F")</f>
        <v>V1.30-F</v>
      </c>
      <c r="D185" s="53" t="str">
        <f ca="1">HYPERLINK("#" &amp; CELL("address", 'V1.30+V1.30-F'!$C$3), "Settlement channel")</f>
        <v>Settlement channel</v>
      </c>
      <c r="E185" s="53" t="str">
        <f ca="1">HYPERLINK("#" &amp; CELL("address", 'V1.30+V1.30-F'!$C$5), "T2 RTGS")</f>
        <v>T2 RTGS</v>
      </c>
      <c r="F185" s="49" t="str">
        <f>'V1.30+V1.30-F'!$D$5</f>
        <v>TAR2</v>
      </c>
      <c r="G185" s="53"/>
    </row>
    <row r="186" spans="1:7" x14ac:dyDescent="0.2">
      <c r="A186">
        <v>185</v>
      </c>
      <c r="B186" t="s">
        <v>1771</v>
      </c>
      <c r="C186" s="53" t="str">
        <f ca="1">HYPERLINK("#" &amp; CELL("address", 'V1.30+V1.30-F'!$A$23), "V1.30-F")</f>
        <v>V1.30-F</v>
      </c>
      <c r="D186" s="53" t="str">
        <f ca="1">HYPERLINK("#" &amp; CELL("address", 'V1.30+V1.30-F'!$C$3), "Settlement channel")</f>
        <v>Settlement channel</v>
      </c>
      <c r="E186" s="53" t="str">
        <f ca="1">HYPERLINK("#" &amp; CELL("address", 'V1.30+V1.30-F'!$C$6), "Euro1")</f>
        <v>Euro1</v>
      </c>
      <c r="F186" s="49" t="str">
        <f>'V1.30+V1.30-F'!$D$6</f>
        <v>EUR1</v>
      </c>
      <c r="G186" s="53"/>
    </row>
    <row r="187" spans="1:7" x14ac:dyDescent="0.2">
      <c r="A187">
        <v>186</v>
      </c>
      <c r="B187" t="s">
        <v>1771</v>
      </c>
      <c r="C187" s="53" t="str">
        <f ca="1">HYPERLINK("#" &amp; CELL("address", 'V1.30+V1.30-F'!$A$23), "V1.30-F")</f>
        <v>V1.30-F</v>
      </c>
      <c r="D187" s="53" t="str">
        <f ca="1">HYPERLINK("#" &amp; CELL("address", 'V1.30+V1.30-F'!$C$3), "Settlement channel")</f>
        <v>Settlement channel</v>
      </c>
      <c r="E187" s="53" t="str">
        <f ca="1">HYPERLINK("#" &amp; CELL("address", 'V1.30+V1.30-F'!$C$7), "Step1")</f>
        <v>Step1</v>
      </c>
      <c r="F187" s="49" t="str">
        <f>'V1.30+V1.30-F'!$D$7</f>
        <v>STE1</v>
      </c>
      <c r="G187" s="53"/>
    </row>
    <row r="188" spans="1:7" x14ac:dyDescent="0.2">
      <c r="A188">
        <v>187</v>
      </c>
      <c r="B188" t="s">
        <v>1771</v>
      </c>
      <c r="C188" s="53" t="str">
        <f ca="1">HYPERLINK("#" &amp; CELL("address", 'V1.30+V1.30-F'!$A$23), "V1.30-F")</f>
        <v>V1.30-F</v>
      </c>
      <c r="D188" s="53" t="str">
        <f ca="1">HYPERLINK("#" &amp; CELL("address", 'V1.30+V1.30-F'!$C$3), "Settlement channel")</f>
        <v>Settlement channel</v>
      </c>
      <c r="E188" s="53" t="str">
        <f ca="1">HYPERLINK("#" &amp; CELL("address", 'V1.30+V1.30-F'!$C$8), "Step2")</f>
        <v>Step2</v>
      </c>
      <c r="F188" s="49" t="str">
        <f>'V1.30+V1.30-F'!$D$8</f>
        <v>STE2</v>
      </c>
      <c r="G188" s="53"/>
    </row>
    <row r="189" spans="1:7" x14ac:dyDescent="0.2">
      <c r="A189">
        <v>188</v>
      </c>
      <c r="B189" t="s">
        <v>1771</v>
      </c>
      <c r="C189" s="53" t="str">
        <f ca="1">HYPERLINK("#" &amp; CELL("address", 'V1.30+V1.30-F'!$A$23), "V1.30-F")</f>
        <v>V1.30-F</v>
      </c>
      <c r="D189" s="53" t="str">
        <f ca="1">HYPERLINK("#" &amp; CELL("address", 'V1.30+V1.30-F'!$C$3), "Settlement channel")</f>
        <v>Settlement channel</v>
      </c>
      <c r="E189" s="53" t="str">
        <f ca="1">HYPERLINK("#" &amp; CELL("address", 'V1.30+V1.30-F'!$C$9), "Equens")</f>
        <v>Equens</v>
      </c>
      <c r="F189" s="49" t="str">
        <f>'V1.30+V1.30-F'!$D$9</f>
        <v>EQUE</v>
      </c>
      <c r="G189" s="53"/>
    </row>
    <row r="190" spans="1:7" x14ac:dyDescent="0.2">
      <c r="A190">
        <v>189</v>
      </c>
      <c r="B190" t="s">
        <v>1771</v>
      </c>
      <c r="C190" s="53" t="str">
        <f ca="1">HYPERLINK("#" &amp; CELL("address", 'V1.30+V1.30-F'!$A$23), "V1.30-F")</f>
        <v>V1.30-F</v>
      </c>
      <c r="D190" s="53" t="str">
        <f ca="1">HYPERLINK("#" &amp; CELL("address", 'V1.30+V1.30-F'!$C$3), "Settlement channel")</f>
        <v>Settlement channel</v>
      </c>
      <c r="E190" s="53" t="str">
        <f ca="1">HYPERLINK("#" &amp; CELL("address", 'V1.30+V1.30-F'!$C$10), "On-us")</f>
        <v>On-us</v>
      </c>
      <c r="F190" s="49" t="str">
        <f>'V1.30+V1.30-F'!$D$10</f>
        <v>ONUS</v>
      </c>
      <c r="G190" s="53" t="str">
        <f ca="1">HYPERLINK("#" &amp; CELL("address", Concepts!$A$20), "Click here for definition")</f>
        <v>Click here for definition</v>
      </c>
    </row>
    <row r="191" spans="1:7" x14ac:dyDescent="0.2">
      <c r="A191">
        <v>190</v>
      </c>
      <c r="B191" t="s">
        <v>1771</v>
      </c>
      <c r="C191" s="53" t="str">
        <f ca="1">HYPERLINK("#" &amp; CELL("address", 'V1.30+V1.30-F'!$A$23), "V1.30-F")</f>
        <v>V1.30-F</v>
      </c>
      <c r="D191" s="53" t="str">
        <f ca="1">HYPERLINK("#" &amp; CELL("address", 'V1.30+V1.30-F'!$C$3), "Settlement channel")</f>
        <v>Settlement channel</v>
      </c>
      <c r="E191" s="53" t="str">
        <f ca="1">HYPERLINK("#" &amp; CELL("address", 'V1.30+V1.30-F'!$C$11), "PSP LU")</f>
        <v>PSP LU</v>
      </c>
      <c r="F191" s="49" t="str">
        <f>'V1.30+V1.30-F'!$D$11</f>
        <v>PSPL</v>
      </c>
      <c r="G191" s="53" t="str">
        <f ca="1">HYPERLINK("#" &amp; CELL("address", Concepts!$A$23), "Click here for definition")</f>
        <v>Click here for definition</v>
      </c>
    </row>
    <row r="192" spans="1:7" x14ac:dyDescent="0.2">
      <c r="A192">
        <v>191</v>
      </c>
      <c r="B192" t="s">
        <v>1771</v>
      </c>
      <c r="C192" s="53" t="str">
        <f ca="1">HYPERLINK("#" &amp; CELL("address", 'V1.30+V1.30-F'!$A$23), "V1.30-F")</f>
        <v>V1.30-F</v>
      </c>
      <c r="D192" s="53" t="str">
        <f ca="1">HYPERLINK("#" &amp; CELL("address", 'V1.30+V1.30-F'!$C$3), "Settlement channel")</f>
        <v>Settlement channel</v>
      </c>
      <c r="E192" s="53" t="str">
        <f ca="1">HYPERLINK("#" &amp; CELL("address", 'V1.30+V1.30-F'!$C$12), "PSP non-LU")</f>
        <v>PSP non-LU</v>
      </c>
      <c r="F192" s="49" t="str">
        <f>'V1.30+V1.30-F'!$D$12</f>
        <v>PSPN</v>
      </c>
      <c r="G192" s="53" t="str">
        <f ca="1">HYPERLINK("#" &amp; CELL("address", Concepts!$A$24), "Click here for definition")</f>
        <v>Click here for definition</v>
      </c>
    </row>
    <row r="193" spans="1:7" x14ac:dyDescent="0.2">
      <c r="A193">
        <v>192</v>
      </c>
      <c r="B193" t="s">
        <v>1771</v>
      </c>
      <c r="C193" s="53" t="str">
        <f ca="1">HYPERLINK("#" &amp; CELL("address", 'V1.30+V1.30-F'!$A$23), "V1.30-F")</f>
        <v>V1.30-F</v>
      </c>
      <c r="D193" s="53" t="str">
        <f ca="1">HYPERLINK("#" &amp; CELL("address", 'V1.30+V1.30-F'!$C$3), "Settlement channel")</f>
        <v>Settlement channel</v>
      </c>
      <c r="E193" s="53" t="str">
        <f ca="1">HYPERLINK("#" &amp; CELL("address", 'V1.30+V1.30-F'!$C$13), "Other")</f>
        <v>Other</v>
      </c>
      <c r="F193" s="49" t="str">
        <f>'V1.30+V1.30-F'!$D$13</f>
        <v>OTHR</v>
      </c>
      <c r="G193" s="53" t="str">
        <f ca="1">HYPERLINK("#" &amp; CELL("address", Concepts!$A$25), "Click here for definition")</f>
        <v>Click here for definition</v>
      </c>
    </row>
    <row r="194" spans="1:7" x14ac:dyDescent="0.2">
      <c r="A194">
        <v>193</v>
      </c>
      <c r="B194" t="s">
        <v>1771</v>
      </c>
      <c r="C194" s="53" t="str">
        <f ca="1">HYPERLINK("#" &amp; CELL("address", 'V1.30+V1.30-F'!$A$23), "V1.30-F")</f>
        <v>V1.30-F</v>
      </c>
      <c r="D194" s="53" t="str">
        <f ca="1">HYPERLINK("#" &amp; CELL("address", 'V1.30+V1.30-F'!$E$3), "Payment scheme")</f>
        <v>Payment scheme</v>
      </c>
      <c r="E194" s="53" t="str">
        <f ca="1">HYPERLINK("#" &amp; CELL("address", 'V1.30+V1.30-F'!$E$4), "SEPA Direct Debit Core")</f>
        <v>SEPA Direct Debit Core</v>
      </c>
      <c r="F194" s="49" t="str">
        <f>'V1.30+V1.30-F'!$F$4</f>
        <v>SCOR</v>
      </c>
      <c r="G194" s="53" t="str">
        <f ca="1">HYPERLINK("#" &amp; CELL("address", Concepts!$A$67), "Click here for definition")</f>
        <v>Click here for definition</v>
      </c>
    </row>
    <row r="195" spans="1:7" x14ac:dyDescent="0.2">
      <c r="A195">
        <v>194</v>
      </c>
      <c r="B195" t="s">
        <v>1771</v>
      </c>
      <c r="C195" s="53" t="str">
        <f ca="1">HYPERLINK("#" &amp; CELL("address", 'V1.30+V1.30-F'!$A$23), "V1.30-F")</f>
        <v>V1.30-F</v>
      </c>
      <c r="D195" s="53" t="str">
        <f ca="1">HYPERLINK("#" &amp; CELL("address", 'V1.30+V1.30-F'!$E$3), "Payment scheme")</f>
        <v>Payment scheme</v>
      </c>
      <c r="E195" s="53" t="str">
        <f ca="1">HYPERLINK("#" &amp; CELL("address", 'V1.30+V1.30-F'!$E$5), "SEPA Direct Debit B2B")</f>
        <v>SEPA Direct Debit B2B</v>
      </c>
      <c r="F195" s="49" t="str">
        <f>'V1.30+V1.30-F'!$F$5</f>
        <v>SB2B</v>
      </c>
      <c r="G195" s="53" t="str">
        <f ca="1">HYPERLINK("#" &amp; CELL("address", Concepts!$A$68), "Click here for definition")</f>
        <v>Click here for definition</v>
      </c>
    </row>
    <row r="196" spans="1:7" x14ac:dyDescent="0.2">
      <c r="A196">
        <v>195</v>
      </c>
      <c r="B196" t="s">
        <v>1771</v>
      </c>
      <c r="C196" s="53" t="str">
        <f ca="1">HYPERLINK("#" &amp; CELL("address", 'V1.30+V1.30-F'!$A$23), "V1.30-F")</f>
        <v>V1.30-F</v>
      </c>
      <c r="D196" s="53" t="str">
        <f ca="1">HYPERLINK("#" &amp; CELL("address", 'V1.30+V1.30-F'!$E$3), "Payment scheme")</f>
        <v>Payment scheme</v>
      </c>
      <c r="E196" s="53" t="str">
        <f ca="1">HYPERLINK("#" &amp; CELL("address", 'V1.30+V1.30-F'!$E$6), "Non-SEPA scheme")</f>
        <v>Non-SEPA scheme</v>
      </c>
      <c r="F196" s="49" t="str">
        <f>'V1.30+V1.30-F'!$F$6</f>
        <v>NSEP</v>
      </c>
      <c r="G196" s="53" t="str">
        <f ca="1">HYPERLINK("#" &amp; CELL("address", Concepts!$A$28), "Click here for definition")</f>
        <v>Click here for definition</v>
      </c>
    </row>
    <row r="197" spans="1:7" x14ac:dyDescent="0.2">
      <c r="A197">
        <v>196</v>
      </c>
      <c r="B197" t="s">
        <v>1771</v>
      </c>
      <c r="C197" s="53" t="str">
        <f ca="1">HYPERLINK("#" &amp; CELL("address", 'V1.30+V1.30-F'!$A$23), "V1.30-F")</f>
        <v>V1.30-F</v>
      </c>
      <c r="D197" s="53" t="str">
        <f ca="1">HYPERLINK("#" &amp; CELL("address", 'V1.30+V1.30-F'!$E$3), "Payment scheme")</f>
        <v>Payment scheme</v>
      </c>
      <c r="E197" s="53" t="str">
        <f ca="1">HYPERLINK("#" &amp; CELL("address", 'V1.30+V1.30-F'!$E$7), "Not applicable")</f>
        <v>Not applicable</v>
      </c>
      <c r="F197" s="49" t="str">
        <f>'V1.30+V1.30-F'!$F$7</f>
        <v>NOAP</v>
      </c>
      <c r="G197" s="53" t="str">
        <f ca="1">HYPERLINK("#" &amp; CELL("address", Concepts!$A$29), "Click here for definition")</f>
        <v>Click here for definition</v>
      </c>
    </row>
    <row r="198" spans="1:7" x14ac:dyDescent="0.2">
      <c r="A198">
        <v>197</v>
      </c>
      <c r="B198" t="s">
        <v>1771</v>
      </c>
      <c r="C198" s="53" t="str">
        <f ca="1">HYPERLINK("#" &amp; CELL("address", 'V1.30+V1.30-F'!$A$23), "V1.30-F")</f>
        <v>V1.30-F</v>
      </c>
      <c r="D198" s="53" t="str">
        <f ca="1">HYPERLINK("#" &amp; CELL("address", 'V1.30+V1.30-F'!$G$3), "Initiation channel")</f>
        <v>Initiation channel</v>
      </c>
      <c r="E198" s="53" t="str">
        <f ca="1">HYPERLINK("#" &amp; CELL("address", 'V1.30+V1.30-F'!$G$4), "Electronic file/batch")</f>
        <v>Electronic file/batch</v>
      </c>
      <c r="F198" s="49" t="str">
        <f>'V1.30+V1.30-F'!$H$4</f>
        <v>ELFB</v>
      </c>
      <c r="G198" s="53" t="str">
        <f ca="1">HYPERLINK("#" &amp; CELL("address", Concepts!$A$32), "Click here for definition")</f>
        <v>Click here for definition</v>
      </c>
    </row>
    <row r="199" spans="1:7" x14ac:dyDescent="0.2">
      <c r="A199">
        <v>198</v>
      </c>
      <c r="B199" t="s">
        <v>1771</v>
      </c>
      <c r="C199" s="53" t="str">
        <f ca="1">HYPERLINK("#" &amp; CELL("address", 'V1.30+V1.30-F'!$A$23), "V1.30-F")</f>
        <v>V1.30-F</v>
      </c>
      <c r="D199" s="53" t="str">
        <f ca="1">HYPERLINK("#" &amp; CELL("address", 'V1.30+V1.30-F'!$G$3), "Initiation channel")</f>
        <v>Initiation channel</v>
      </c>
      <c r="E199" s="53" t="str">
        <f ca="1">HYPERLINK("#" &amp; CELL("address", 'V1.30+V1.30-F'!$G$5), "Electronic single")</f>
        <v>Electronic single</v>
      </c>
      <c r="F199" s="49" t="str">
        <f>'V1.30+V1.30-F'!$H$5</f>
        <v>ELSI</v>
      </c>
      <c r="G199" s="53" t="str">
        <f ca="1">HYPERLINK("#" &amp; CELL("address", Concepts!$A$31), "Click here for definition")</f>
        <v>Click here for definition</v>
      </c>
    </row>
    <row r="200" spans="1:7" x14ac:dyDescent="0.2">
      <c r="A200">
        <v>199</v>
      </c>
      <c r="B200" t="s">
        <v>1771</v>
      </c>
      <c r="C200" s="53" t="str">
        <f ca="1">HYPERLINK("#" &amp; CELL("address", 'V1.30+V1.30-F'!$A$23), "V1.30-F")</f>
        <v>V1.30-F</v>
      </c>
      <c r="D200" s="53" t="str">
        <f ca="1">HYPERLINK("#" &amp; CELL("address", 'V1.30+V1.30-F'!$I$3), "Consent form")</f>
        <v>Consent form</v>
      </c>
      <c r="E200" s="53" t="str">
        <f ca="1">HYPERLINK("#" &amp; CELL("address", 'V1.30+V1.30-F'!$I$4), "Consent given via electronic mandate")</f>
        <v>Consent given via electronic mandate</v>
      </c>
      <c r="F200" s="49" t="str">
        <f>'V1.30+V1.30-F'!$J$4</f>
        <v>ELMA</v>
      </c>
      <c r="G200" s="53" t="str">
        <f ca="1">HYPERLINK("#" &amp; CELL("address", Concepts!$A$69), "Click here for definition")</f>
        <v>Click here for definition</v>
      </c>
    </row>
    <row r="201" spans="1:7" x14ac:dyDescent="0.2">
      <c r="A201">
        <v>200</v>
      </c>
      <c r="B201" t="s">
        <v>1771</v>
      </c>
      <c r="C201" s="53" t="str">
        <f ca="1">HYPERLINK("#" &amp; CELL("address", 'V1.30+V1.30-F'!$A$23), "V1.30-F")</f>
        <v>V1.30-F</v>
      </c>
      <c r="D201" s="53" t="str">
        <f ca="1">HYPERLINK("#" &amp; CELL("address", 'V1.30+V1.30-F'!$I$3), "Consent form")</f>
        <v>Consent form</v>
      </c>
      <c r="E201" s="53" t="str">
        <f ca="1">HYPERLINK("#" &amp; CELL("address", 'V1.30+V1.30-F'!$I$5), "Consent given in other forms / unknown")</f>
        <v>Consent given in other forms / unknown</v>
      </c>
      <c r="F201" s="49" t="str">
        <f>'V1.30+V1.30-F'!$J$5</f>
        <v>COTH</v>
      </c>
      <c r="G201" s="53" t="str">
        <f ca="1">HYPERLINK("#" &amp; CELL("address", Concepts!$A$70), "Click here for definition")</f>
        <v>Click here for definition</v>
      </c>
    </row>
    <row r="202" spans="1:7" x14ac:dyDescent="0.2">
      <c r="A202">
        <v>201</v>
      </c>
      <c r="B202" t="s">
        <v>1771</v>
      </c>
      <c r="C202" s="53" t="str">
        <f ca="1">HYPERLINK("#" &amp; CELL("address", 'V1.30+V1.30-F'!$A$23), "V1.30-F")</f>
        <v>V1.30-F</v>
      </c>
      <c r="D202" s="53" t="str">
        <f ca="1">HYPERLINK("#" &amp; CELL("address", 'V1.30+V1.30-F'!$K$3), "Fraud type")</f>
        <v>Fraud type</v>
      </c>
      <c r="E202" s="53" t="str">
        <f ca="1">HYPERLINK("#" &amp; CELL("address", 'V1.30+V1.30-F'!$K$25), "Unauthorised payment transaction")</f>
        <v>Unauthorised payment transaction</v>
      </c>
      <c r="F202" s="49" t="str">
        <f>'V1.30+V1.30-F'!$L$25</f>
        <v>UNPT</v>
      </c>
      <c r="G202" s="53" t="str">
        <f ca="1">HYPERLINK("#" &amp; CELL("address", Concepts!$A$71), "Click here for definition")</f>
        <v>Click here for definition</v>
      </c>
    </row>
    <row r="203" spans="1:7" x14ac:dyDescent="0.2">
      <c r="A203">
        <v>202</v>
      </c>
      <c r="B203" t="s">
        <v>1771</v>
      </c>
      <c r="C203" s="53" t="str">
        <f ca="1">HYPERLINK("#" &amp; CELL("address", 'V1.30+V1.30-F'!$A$23), "V1.30-F")</f>
        <v>V1.30-F</v>
      </c>
      <c r="D203" s="53" t="str">
        <f ca="1">HYPERLINK("#" &amp; CELL("address", 'V1.30+V1.30-F'!$K$3), "Fraud type")</f>
        <v>Fraud type</v>
      </c>
      <c r="E203" s="53" t="str">
        <f ca="1">HYPERLINK("#" &amp; CELL("address", 'V1.30+V1.30-F'!$K$26), "Manipulation of the payer")</f>
        <v>Manipulation of the payer</v>
      </c>
      <c r="F203" s="49" t="str">
        <f>'V1.30+V1.30-F'!$L$26</f>
        <v>MANI</v>
      </c>
      <c r="G203" s="53" t="str">
        <f ca="1">HYPERLINK("#" &amp; CELL("address", Concepts!$A$62), "Click here for definition")</f>
        <v>Click here for definition</v>
      </c>
    </row>
    <row r="204" spans="1:7" x14ac:dyDescent="0.2">
      <c r="A204">
        <v>203</v>
      </c>
      <c r="B204" t="s">
        <v>1771</v>
      </c>
      <c r="C204" s="53" t="str">
        <f ca="1">HYPERLINK("#" &amp; CELL("address", 'V1.30+V1.30-F'!$A$23), "V1.30-F")</f>
        <v>V1.30-F</v>
      </c>
      <c r="D204" s="53" t="str">
        <f ca="1">HYPERLINK("#" &amp; CELL("address", 'V1.30+V1.30-F'!$M$3), "Country of debtor's PSP")</f>
        <v>Country of debtor's PSP</v>
      </c>
      <c r="E204" s="53" t="str">
        <f ca="1">HYPERLINK("#" &amp; CELL("address", 'V1.30+V1.30-F'!$M$4), "2-letter ISO 3166 country code")</f>
        <v>2-letter ISO 3166 country code</v>
      </c>
      <c r="F204" s="49" t="str">
        <f>'V1.30+V1.30-F'!$N$4</f>
        <v>[Geo]</v>
      </c>
      <c r="G204" s="53" t="str">
        <f ca="1">HYPERLINK("#" &amp; CELL("address", Concepts!$A$145), "Click here for definition")</f>
        <v>Click here for definition</v>
      </c>
    </row>
    <row r="205" spans="1:7" x14ac:dyDescent="0.2">
      <c r="A205">
        <v>204</v>
      </c>
      <c r="B205" t="s">
        <v>1771</v>
      </c>
      <c r="C205" s="53" t="str">
        <f ca="1">HYPERLINK("#" &amp; CELL("address", 'V1.30+V1.30-F'!$A$23), "V1.30-F")</f>
        <v>V1.30-F</v>
      </c>
      <c r="D205" s="53" t="str">
        <f ca="1">HYPERLINK("#" &amp; CELL("address", 'V1.30+V1.30-F'!$O$3), "Currency")</f>
        <v>Currency</v>
      </c>
      <c r="E205" s="53" t="str">
        <f ca="1">HYPERLINK("#" &amp; CELL("address", 'V1.30+V1.30-F'!$O$4), "3-letter ISO 4217 currency code")</f>
        <v>3-letter ISO 4217 currency code</v>
      </c>
      <c r="F205" s="49" t="str">
        <f>'V1.30+V1.30-F'!$P$4</f>
        <v>[Currency]</v>
      </c>
      <c r="G205" s="53" t="str">
        <f ca="1">HYPERLINK("#" &amp; CELL("address", Concepts!$A$146), "Click here for definition")</f>
        <v>Click here for definition</v>
      </c>
    </row>
    <row r="206" spans="1:7" x14ac:dyDescent="0.2">
      <c r="A206">
        <v>205</v>
      </c>
      <c r="B206" t="s">
        <v>1771</v>
      </c>
      <c r="C206" s="53" t="str">
        <f ca="1">HYPERLINK("#" &amp; CELL("address", 'V1.30+V1.30-F'!$A$23), "V1.30-F")</f>
        <v>V1.30-F</v>
      </c>
      <c r="D206" s="53" t="str">
        <f ca="1">HYPERLINK("#" &amp; CELL("address", 'V1.30+V1.30-F'!$Q$3), "Metric")</f>
        <v>Metric</v>
      </c>
      <c r="E206" s="53" t="str">
        <f ca="1">HYPERLINK("#" &amp; CELL("address", 'V1.30+V1.30-F'!$Q$4), "Number of transactions")</f>
        <v>Number of transactions</v>
      </c>
      <c r="F206" s="49" t="str">
        <f>'V1.30+V1.30-F'!$R$4</f>
        <v>VOLU</v>
      </c>
      <c r="G206" s="53" t="str">
        <f ca="1">HYPERLINK("#" &amp; CELL("address", Concepts!$A$147), "Click here for definition")</f>
        <v>Click here for definition</v>
      </c>
    </row>
    <row r="207" spans="1:7" x14ac:dyDescent="0.2">
      <c r="A207">
        <v>206</v>
      </c>
      <c r="B207" t="s">
        <v>1771</v>
      </c>
      <c r="C207" s="53" t="str">
        <f ca="1">HYPERLINK("#" &amp; CELL("address", 'V1.30+V1.30-F'!$A$23), "V1.30-F")</f>
        <v>V1.30-F</v>
      </c>
      <c r="D207" s="53" t="str">
        <f ca="1">HYPERLINK("#" &amp; CELL("address", 'V1.30+V1.30-F'!$Q$3), "Metric")</f>
        <v>Metric</v>
      </c>
      <c r="E207" s="53" t="str">
        <f ca="1">HYPERLINK("#" &amp; CELL("address", 'V1.30+V1.30-F'!$Q$5), "Value of transactions")</f>
        <v>Value of transactions</v>
      </c>
      <c r="F207" s="49" t="str">
        <f>'V1.30+V1.30-F'!$R$5</f>
        <v>VALE</v>
      </c>
      <c r="G207" s="53" t="str">
        <f ca="1">HYPERLINK("#" &amp; CELL("address", Concepts!$A$148), "Click here for definition")</f>
        <v>Click here for definition</v>
      </c>
    </row>
    <row r="208" spans="1:7" x14ac:dyDescent="0.2">
      <c r="A208">
        <v>207</v>
      </c>
      <c r="B208" t="s">
        <v>1097</v>
      </c>
      <c r="C208" s="53" t="str">
        <f ca="1">HYPERLINK("#" &amp; CELL("address", 'V1.31'!$A$2), "V1.31")</f>
        <v>V1.31</v>
      </c>
      <c r="D208" s="53" t="str">
        <f ca="1">HYPERLINK("#" &amp; CELL("address", 'V1.31'!$A$3), "Customer category")</f>
        <v>Customer category</v>
      </c>
      <c r="E208" s="53" t="str">
        <f ca="1">HYPERLINK("#" &amp; CELL("address", 'V1.31'!$A$5), "Credit institution")</f>
        <v>Credit institution</v>
      </c>
      <c r="F208" s="49" t="str">
        <f>'V1.31'!$B$5</f>
        <v>CRIN</v>
      </c>
      <c r="G208" s="53" t="str">
        <f ca="1">HYPERLINK("#" &amp; CELL("address", Concepts!$A$7), "Click here for definition")</f>
        <v>Click here for definition</v>
      </c>
    </row>
    <row r="209" spans="1:7" x14ac:dyDescent="0.2">
      <c r="A209">
        <v>208</v>
      </c>
      <c r="B209" t="s">
        <v>1097</v>
      </c>
      <c r="C209" s="53" t="str">
        <f ca="1">HYPERLINK("#" &amp; CELL("address", 'V1.31'!$A$2), "V1.31")</f>
        <v>V1.31</v>
      </c>
      <c r="D209" s="53" t="str">
        <f ca="1">HYPERLINK("#" &amp; CELL("address", 'V1.31'!$A$3), "Customer category")</f>
        <v>Customer category</v>
      </c>
      <c r="E209" s="53" t="str">
        <f ca="1">HYPERLINK("#" &amp; CELL("address", 'V1.31'!$A$6), "Monetary fund")</f>
        <v>Monetary fund</v>
      </c>
      <c r="F209" s="49" t="str">
        <f>'V1.31'!$B$6</f>
        <v>MOFU</v>
      </c>
      <c r="G209" s="53" t="str">
        <f ca="1">HYPERLINK("#" &amp; CELL("address", Concepts!$A$8), "Click here for definition")</f>
        <v>Click here for definition</v>
      </c>
    </row>
    <row r="210" spans="1:7" x14ac:dyDescent="0.2">
      <c r="A210">
        <v>209</v>
      </c>
      <c r="B210" t="s">
        <v>1097</v>
      </c>
      <c r="C210" s="53" t="str">
        <f ca="1">HYPERLINK("#" &amp; CELL("address", 'V1.31'!$A$2), "V1.31")</f>
        <v>V1.31</v>
      </c>
      <c r="D210" s="53" t="str">
        <f ca="1">HYPERLINK("#" &amp; CELL("address", 'V1.31'!$A$3), "Customer category")</f>
        <v>Customer category</v>
      </c>
      <c r="E210" s="53" t="str">
        <f ca="1">HYPERLINK("#" &amp; CELL("address", 'V1.31'!$A$7), "Electronic money institution")</f>
        <v>Electronic money institution</v>
      </c>
      <c r="F210" s="49" t="str">
        <f>'V1.31'!$B$7</f>
        <v>ELMI</v>
      </c>
      <c r="G210" s="53" t="str">
        <f ca="1">HYPERLINK("#" &amp; CELL("address", Concepts!$A$9), "Click here for definition")</f>
        <v>Click here for definition</v>
      </c>
    </row>
    <row r="211" spans="1:7" x14ac:dyDescent="0.2">
      <c r="A211">
        <v>210</v>
      </c>
      <c r="B211" t="s">
        <v>1097</v>
      </c>
      <c r="C211" s="53" t="str">
        <f ca="1">HYPERLINK("#" &amp; CELL("address", 'V1.31'!$A$2), "V1.31")</f>
        <v>V1.31</v>
      </c>
      <c r="D211" s="53" t="str">
        <f ca="1">HYPERLINK("#" &amp; CELL("address", 'V1.31'!$A$3), "Customer category")</f>
        <v>Customer category</v>
      </c>
      <c r="E211" s="53" t="str">
        <f ca="1">HYPERLINK("#" &amp; CELL("address", 'V1.31'!$A$8), "Payment institution")</f>
        <v>Payment institution</v>
      </c>
      <c r="F211" s="49" t="str">
        <f>'V1.31'!$B$8</f>
        <v>PMIN</v>
      </c>
      <c r="G211" s="53" t="str">
        <f ca="1">HYPERLINK("#" &amp; CELL("address", Concepts!$A$13), "Click here for definition")</f>
        <v>Click here for definition</v>
      </c>
    </row>
    <row r="212" spans="1:7" x14ac:dyDescent="0.2">
      <c r="A212">
        <v>211</v>
      </c>
      <c r="B212" t="s">
        <v>1097</v>
      </c>
      <c r="C212" s="53" t="str">
        <f ca="1">HYPERLINK("#" &amp; CELL("address", 'V1.31'!$A$2), "V1.31")</f>
        <v>V1.31</v>
      </c>
      <c r="D212" s="53" t="str">
        <f ca="1">HYPERLINK("#" &amp; CELL("address", 'V1.31'!$A$3), "Customer category")</f>
        <v>Customer category</v>
      </c>
      <c r="E212" s="53" t="str">
        <f ca="1">HYPERLINK("#" &amp; CELL("address", 'V1.31'!$A$9), "Other MFI")</f>
        <v>Other MFI</v>
      </c>
      <c r="F212" s="49" t="str">
        <f>'V1.31'!$B$9</f>
        <v>OMFI</v>
      </c>
      <c r="G212" s="53" t="str">
        <f ca="1">HYPERLINK("#" &amp; CELL("address", Concepts!$A$10), "Click here for definition")</f>
        <v>Click here for definition</v>
      </c>
    </row>
    <row r="213" spans="1:7" x14ac:dyDescent="0.2">
      <c r="A213">
        <v>212</v>
      </c>
      <c r="B213" t="s">
        <v>1097</v>
      </c>
      <c r="C213" s="53" t="str">
        <f ca="1">HYPERLINK("#" &amp; CELL("address", 'V1.31'!$A$2), "V1.31")</f>
        <v>V1.31</v>
      </c>
      <c r="D213" s="53" t="str">
        <f ca="1">HYPERLINK("#" &amp; CELL("address", 'V1.31'!$A$3), "Customer category")</f>
        <v>Customer category</v>
      </c>
      <c r="E213" s="53" t="str">
        <f ca="1">HYPERLINK("#" &amp; CELL("address", 'V1.31'!$A$11), "Non-monetary fund")</f>
        <v>Non-monetary fund</v>
      </c>
      <c r="F213" s="49" t="str">
        <f>'V1.31'!$B$11</f>
        <v>NMFU</v>
      </c>
      <c r="G213" s="53" t="str">
        <f ca="1">HYPERLINK("#" &amp; CELL("address", Concepts!$A$12), "Click here for definition")</f>
        <v>Click here for definition</v>
      </c>
    </row>
    <row r="214" spans="1:7" x14ac:dyDescent="0.2">
      <c r="A214">
        <v>213</v>
      </c>
      <c r="B214" t="s">
        <v>1097</v>
      </c>
      <c r="C214" s="53" t="str">
        <f ca="1">HYPERLINK("#" &amp; CELL("address", 'V1.31'!$A$2), "V1.31")</f>
        <v>V1.31</v>
      </c>
      <c r="D214" s="53" t="str">
        <f ca="1">HYPERLINK("#" &amp; CELL("address", 'V1.31'!$A$3), "Customer category")</f>
        <v>Customer category</v>
      </c>
      <c r="E214" s="53" t="str">
        <f ca="1">HYPERLINK("#" &amp; CELL("address", 'V1.31'!$A$12), "Households and NPISHs")</f>
        <v>Households and NPISHs</v>
      </c>
      <c r="F214" s="49" t="str">
        <f>'V1.31'!$B$12</f>
        <v>HSNP</v>
      </c>
      <c r="G214" s="53" t="str">
        <f ca="1">HYPERLINK("#" &amp; CELL("address", Concepts!$A$14), "Click here for definition")</f>
        <v>Click here for definition</v>
      </c>
    </row>
    <row r="215" spans="1:7" x14ac:dyDescent="0.2">
      <c r="A215">
        <v>214</v>
      </c>
      <c r="B215" t="s">
        <v>1097</v>
      </c>
      <c r="C215" s="53" t="str">
        <f ca="1">HYPERLINK("#" &amp; CELL("address", 'V1.31'!$A$2), "V1.31")</f>
        <v>V1.31</v>
      </c>
      <c r="D215" s="53" t="str">
        <f ca="1">HYPERLINK("#" &amp; CELL("address", 'V1.31'!$A$3), "Customer category")</f>
        <v>Customer category</v>
      </c>
      <c r="E215" s="53" t="str">
        <f ca="1">HYPERLINK("#" &amp; CELL("address", 'V1.31'!$A$13), "Non-financial corporations")</f>
        <v>Non-financial corporations</v>
      </c>
      <c r="F215" s="49" t="str">
        <f>'V1.31'!$B$13</f>
        <v>CORP</v>
      </c>
      <c r="G215" s="53" t="str">
        <f ca="1">HYPERLINK("#" &amp; CELL("address", Concepts!$A$15), "Click here for definition")</f>
        <v>Click here for definition</v>
      </c>
    </row>
    <row r="216" spans="1:7" x14ac:dyDescent="0.2">
      <c r="A216">
        <v>215</v>
      </c>
      <c r="B216" t="s">
        <v>1097</v>
      </c>
      <c r="C216" s="53" t="str">
        <f ca="1">HYPERLINK("#" &amp; CELL("address", 'V1.31'!$A$2), "V1.31")</f>
        <v>V1.31</v>
      </c>
      <c r="D216" s="53" t="str">
        <f ca="1">HYPERLINK("#" &amp; CELL("address", 'V1.31'!$A$3), "Customer category")</f>
        <v>Customer category</v>
      </c>
      <c r="E216" s="53" t="str">
        <f ca="1">HYPERLINK("#" &amp; CELL("address", 'V1.31'!$A$14), "Other non-MFI")</f>
        <v>Other non-MFI</v>
      </c>
      <c r="F216" s="49" t="str">
        <f>'V1.31'!$B$14</f>
        <v>ONMF</v>
      </c>
      <c r="G216" s="53" t="str">
        <f ca="1">HYPERLINK("#" &amp; CELL("address", Concepts!$A$16), "Click here for definition")</f>
        <v>Click here for definition</v>
      </c>
    </row>
    <row r="217" spans="1:7" x14ac:dyDescent="0.2">
      <c r="A217">
        <v>216</v>
      </c>
      <c r="B217" t="s">
        <v>1097</v>
      </c>
      <c r="C217" s="53" t="str">
        <f ca="1">HYPERLINK("#" &amp; CELL("address", 'V1.31'!$A$2), "V1.31")</f>
        <v>V1.31</v>
      </c>
      <c r="D217" s="53" t="str">
        <f ca="1">HYPERLINK("#" &amp; CELL("address", 'V1.31'!$A$3), "Customer category")</f>
        <v>Customer category</v>
      </c>
      <c r="E217" s="53" t="str">
        <f ca="1">HYPERLINK("#" &amp; CELL("address", 'V1.31'!$A$15), "Own account operation")</f>
        <v>Own account operation</v>
      </c>
      <c r="F217" s="49" t="str">
        <f>'V1.31'!$B$15</f>
        <v>OWNA</v>
      </c>
      <c r="G217" s="53" t="str">
        <f ca="1">HYPERLINK("#" &amp; CELL("address", Concepts!$A$17), "Click here for definition")</f>
        <v>Click here for definition</v>
      </c>
    </row>
    <row r="218" spans="1:7" x14ac:dyDescent="0.2">
      <c r="A218">
        <v>217</v>
      </c>
      <c r="B218" t="s">
        <v>1097</v>
      </c>
      <c r="C218" s="53" t="str">
        <f ca="1">HYPERLINK("#" &amp; CELL("address", 'V1.31'!$A$2), "V1.31")</f>
        <v>V1.31</v>
      </c>
      <c r="D218" s="53" t="str">
        <f ca="1">HYPERLINK("#" &amp; CELL("address", 'V1.31'!$A$3), "Customer category")</f>
        <v>Customer category</v>
      </c>
      <c r="E218" s="53" t="str">
        <f ca="1">HYPERLINK("#" &amp; CELL("address", 'V1.31'!$A$16), "Unknown")</f>
        <v>Unknown</v>
      </c>
      <c r="F218" s="49" t="str">
        <f>'V1.31'!$B$16</f>
        <v>UNKN</v>
      </c>
      <c r="G218" s="53" t="str">
        <f ca="1">HYPERLINK("#" &amp; CELL("address", Concepts!$A$18), "Click here for definition")</f>
        <v>Click here for definition</v>
      </c>
    </row>
    <row r="219" spans="1:7" x14ac:dyDescent="0.2">
      <c r="A219">
        <v>218</v>
      </c>
      <c r="B219" t="s">
        <v>1097</v>
      </c>
      <c r="C219" s="53" t="str">
        <f ca="1">HYPERLINK("#" &amp; CELL("address", 'V1.31'!$A$2), "V1.31")</f>
        <v>V1.31</v>
      </c>
      <c r="D219" s="53" t="str">
        <f ca="1">HYPERLINK("#" &amp; CELL("address", 'V1.31'!$C$3), "Settlement channel")</f>
        <v>Settlement channel</v>
      </c>
      <c r="E219" s="53" t="str">
        <f ca="1">HYPERLINK("#" &amp; CELL("address", 'V1.31'!$C$5), "T2 RTGS")</f>
        <v>T2 RTGS</v>
      </c>
      <c r="F219" s="49" t="str">
        <f>'V1.31'!$D$5</f>
        <v>TAR2</v>
      </c>
      <c r="G219" s="53"/>
    </row>
    <row r="220" spans="1:7" x14ac:dyDescent="0.2">
      <c r="A220">
        <v>219</v>
      </c>
      <c r="B220" t="s">
        <v>1097</v>
      </c>
      <c r="C220" s="53" t="str">
        <f ca="1">HYPERLINK("#" &amp; CELL("address", 'V1.31'!$A$2), "V1.31")</f>
        <v>V1.31</v>
      </c>
      <c r="D220" s="53" t="str">
        <f ca="1">HYPERLINK("#" &amp; CELL("address", 'V1.31'!$C$3), "Settlement channel")</f>
        <v>Settlement channel</v>
      </c>
      <c r="E220" s="53" t="str">
        <f ca="1">HYPERLINK("#" &amp; CELL("address", 'V1.31'!$C$6), "Euro1")</f>
        <v>Euro1</v>
      </c>
      <c r="F220" s="49" t="str">
        <f>'V1.31'!$D$6</f>
        <v>EUR1</v>
      </c>
      <c r="G220" s="53"/>
    </row>
    <row r="221" spans="1:7" x14ac:dyDescent="0.2">
      <c r="A221">
        <v>220</v>
      </c>
      <c r="B221" t="s">
        <v>1097</v>
      </c>
      <c r="C221" s="53" t="str">
        <f ca="1">HYPERLINK("#" &amp; CELL("address", 'V1.31'!$A$2), "V1.31")</f>
        <v>V1.31</v>
      </c>
      <c r="D221" s="53" t="str">
        <f ca="1">HYPERLINK("#" &amp; CELL("address", 'V1.31'!$C$3), "Settlement channel")</f>
        <v>Settlement channel</v>
      </c>
      <c r="E221" s="53" t="str">
        <f ca="1">HYPERLINK("#" &amp; CELL("address", 'V1.31'!$C$7), "Step1")</f>
        <v>Step1</v>
      </c>
      <c r="F221" s="49" t="str">
        <f>'V1.31'!$D$7</f>
        <v>STE1</v>
      </c>
      <c r="G221" s="53"/>
    </row>
    <row r="222" spans="1:7" x14ac:dyDescent="0.2">
      <c r="A222">
        <v>221</v>
      </c>
      <c r="B222" t="s">
        <v>1097</v>
      </c>
      <c r="C222" s="53" t="str">
        <f ca="1">HYPERLINK("#" &amp; CELL("address", 'V1.31'!$A$2), "V1.31")</f>
        <v>V1.31</v>
      </c>
      <c r="D222" s="53" t="str">
        <f ca="1">HYPERLINK("#" &amp; CELL("address", 'V1.31'!$C$3), "Settlement channel")</f>
        <v>Settlement channel</v>
      </c>
      <c r="E222" s="53" t="str">
        <f ca="1">HYPERLINK("#" &amp; CELL("address", 'V1.31'!$C$8), "Step2")</f>
        <v>Step2</v>
      </c>
      <c r="F222" s="49" t="str">
        <f>'V1.31'!$D$8</f>
        <v>STE2</v>
      </c>
      <c r="G222" s="53"/>
    </row>
    <row r="223" spans="1:7" x14ac:dyDescent="0.2">
      <c r="A223">
        <v>222</v>
      </c>
      <c r="B223" t="s">
        <v>1097</v>
      </c>
      <c r="C223" s="53" t="str">
        <f ca="1">HYPERLINK("#" &amp; CELL("address", 'V1.31'!$A$2), "V1.31")</f>
        <v>V1.31</v>
      </c>
      <c r="D223" s="53" t="str">
        <f ca="1">HYPERLINK("#" &amp; CELL("address", 'V1.31'!$C$3), "Settlement channel")</f>
        <v>Settlement channel</v>
      </c>
      <c r="E223" s="53" t="str">
        <f ca="1">HYPERLINK("#" &amp; CELL("address", 'V1.31'!$C$9), "Equens")</f>
        <v>Equens</v>
      </c>
      <c r="F223" s="49" t="str">
        <f>'V1.31'!$D$9</f>
        <v>EQUE</v>
      </c>
      <c r="G223" s="53"/>
    </row>
    <row r="224" spans="1:7" x14ac:dyDescent="0.2">
      <c r="A224">
        <v>223</v>
      </c>
      <c r="B224" t="s">
        <v>1097</v>
      </c>
      <c r="C224" s="53" t="str">
        <f ca="1">HYPERLINK("#" &amp; CELL("address", 'V1.31'!$A$2), "V1.31")</f>
        <v>V1.31</v>
      </c>
      <c r="D224" s="53" t="str">
        <f ca="1">HYPERLINK("#" &amp; CELL("address", 'V1.31'!$C$3), "Settlement channel")</f>
        <v>Settlement channel</v>
      </c>
      <c r="E224" s="53" t="str">
        <f ca="1">HYPERLINK("#" &amp; CELL("address", 'V1.31'!$C$10), "On-us")</f>
        <v>On-us</v>
      </c>
      <c r="F224" s="49" t="str">
        <f>'V1.31'!$D$10</f>
        <v>ONUS</v>
      </c>
      <c r="G224" s="53" t="str">
        <f ca="1">HYPERLINK("#" &amp; CELL("address", Concepts!$A$20), "Click here for definition")</f>
        <v>Click here for definition</v>
      </c>
    </row>
    <row r="225" spans="1:7" x14ac:dyDescent="0.2">
      <c r="A225">
        <v>224</v>
      </c>
      <c r="B225" t="s">
        <v>1097</v>
      </c>
      <c r="C225" s="53" t="str">
        <f ca="1">HYPERLINK("#" &amp; CELL("address", 'V1.31'!$A$2), "V1.31")</f>
        <v>V1.31</v>
      </c>
      <c r="D225" s="53" t="str">
        <f ca="1">HYPERLINK("#" &amp; CELL("address", 'V1.31'!$C$3), "Settlement channel")</f>
        <v>Settlement channel</v>
      </c>
      <c r="E225" s="53" t="str">
        <f ca="1">HYPERLINK("#" &amp; CELL("address", 'V1.31'!$C$11), "PSP LU")</f>
        <v>PSP LU</v>
      </c>
      <c r="F225" s="49" t="str">
        <f>'V1.31'!$D$11</f>
        <v>PSPL</v>
      </c>
      <c r="G225" s="53" t="str">
        <f ca="1">HYPERLINK("#" &amp; CELL("address", Concepts!$A$23), "Click here for definition")</f>
        <v>Click here for definition</v>
      </c>
    </row>
    <row r="226" spans="1:7" x14ac:dyDescent="0.2">
      <c r="A226">
        <v>225</v>
      </c>
      <c r="B226" t="s">
        <v>1097</v>
      </c>
      <c r="C226" s="53" t="str">
        <f ca="1">HYPERLINK("#" &amp; CELL("address", 'V1.31'!$A$2), "V1.31")</f>
        <v>V1.31</v>
      </c>
      <c r="D226" s="53" t="str">
        <f ca="1">HYPERLINK("#" &amp; CELL("address", 'V1.31'!$C$3), "Settlement channel")</f>
        <v>Settlement channel</v>
      </c>
      <c r="E226" s="53" t="str">
        <f ca="1">HYPERLINK("#" &amp; CELL("address", 'V1.31'!$C$12), "PSP non-LU")</f>
        <v>PSP non-LU</v>
      </c>
      <c r="F226" s="49" t="str">
        <f>'V1.31'!$D$12</f>
        <v>PSPN</v>
      </c>
      <c r="G226" s="53" t="str">
        <f ca="1">HYPERLINK("#" &amp; CELL("address", Concepts!$A$24), "Click here for definition")</f>
        <v>Click here for definition</v>
      </c>
    </row>
    <row r="227" spans="1:7" x14ac:dyDescent="0.2">
      <c r="A227">
        <v>226</v>
      </c>
      <c r="B227" t="s">
        <v>1097</v>
      </c>
      <c r="C227" s="53" t="str">
        <f ca="1">HYPERLINK("#" &amp; CELL("address", 'V1.31'!$A$2), "V1.31")</f>
        <v>V1.31</v>
      </c>
      <c r="D227" s="53" t="str">
        <f ca="1">HYPERLINK("#" &amp; CELL("address", 'V1.31'!$C$3), "Settlement channel")</f>
        <v>Settlement channel</v>
      </c>
      <c r="E227" s="53" t="str">
        <f ca="1">HYPERLINK("#" &amp; CELL("address", 'V1.31'!$C$13), "Other")</f>
        <v>Other</v>
      </c>
      <c r="F227" s="49" t="str">
        <f>'V1.31'!$D$13</f>
        <v>OTHR</v>
      </c>
      <c r="G227" s="53" t="str">
        <f ca="1">HYPERLINK("#" &amp; CELL("address", Concepts!$A$25), "Click here for definition")</f>
        <v>Click here for definition</v>
      </c>
    </row>
    <row r="228" spans="1:7" x14ac:dyDescent="0.2">
      <c r="A228">
        <v>227</v>
      </c>
      <c r="B228" t="s">
        <v>1097</v>
      </c>
      <c r="C228" s="53" t="str">
        <f ca="1">HYPERLINK("#" &amp; CELL("address", 'V1.31'!$A$2), "V1.31")</f>
        <v>V1.31</v>
      </c>
      <c r="D228" s="53" t="str">
        <f ca="1">HYPERLINK("#" &amp; CELL("address", 'V1.31'!$E$3), "Payment scheme")</f>
        <v>Payment scheme</v>
      </c>
      <c r="E228" s="53" t="str">
        <f ca="1">HYPERLINK("#" &amp; CELL("address", 'V1.31'!$E$4), "SEPA Direct Debit Core")</f>
        <v>SEPA Direct Debit Core</v>
      </c>
      <c r="F228" s="49" t="str">
        <f>'V1.31'!$F$4</f>
        <v>SCOR</v>
      </c>
      <c r="G228" s="53" t="str">
        <f ca="1">HYPERLINK("#" &amp; CELL("address", Concepts!$A$67), "Click here for definition")</f>
        <v>Click here for definition</v>
      </c>
    </row>
    <row r="229" spans="1:7" x14ac:dyDescent="0.2">
      <c r="A229">
        <v>228</v>
      </c>
      <c r="B229" t="s">
        <v>1097</v>
      </c>
      <c r="C229" s="53" t="str">
        <f ca="1">HYPERLINK("#" &amp; CELL("address", 'V1.31'!$A$2), "V1.31")</f>
        <v>V1.31</v>
      </c>
      <c r="D229" s="53" t="str">
        <f ca="1">HYPERLINK("#" &amp; CELL("address", 'V1.31'!$E$3), "Payment scheme")</f>
        <v>Payment scheme</v>
      </c>
      <c r="E229" s="53" t="str">
        <f ca="1">HYPERLINK("#" &amp; CELL("address", 'V1.31'!$E$5), "SEPA Direct Debit B2B")</f>
        <v>SEPA Direct Debit B2B</v>
      </c>
      <c r="F229" s="49" t="str">
        <f>'V1.31'!$F$5</f>
        <v>SB2B</v>
      </c>
      <c r="G229" s="53" t="str">
        <f ca="1">HYPERLINK("#" &amp; CELL("address", Concepts!$A$68), "Click here for definition")</f>
        <v>Click here for definition</v>
      </c>
    </row>
    <row r="230" spans="1:7" x14ac:dyDescent="0.2">
      <c r="A230">
        <v>229</v>
      </c>
      <c r="B230" t="s">
        <v>1097</v>
      </c>
      <c r="C230" s="53" t="str">
        <f ca="1">HYPERLINK("#" &amp; CELL("address", 'V1.31'!$A$2), "V1.31")</f>
        <v>V1.31</v>
      </c>
      <c r="D230" s="53" t="str">
        <f ca="1">HYPERLINK("#" &amp; CELL("address", 'V1.31'!$E$3), "Payment scheme")</f>
        <v>Payment scheme</v>
      </c>
      <c r="E230" s="53" t="str">
        <f ca="1">HYPERLINK("#" &amp; CELL("address", 'V1.31'!$E$6), "Non-SEPA scheme")</f>
        <v>Non-SEPA scheme</v>
      </c>
      <c r="F230" s="49" t="str">
        <f>'V1.31'!$F$6</f>
        <v>NSEP</v>
      </c>
      <c r="G230" s="53" t="str">
        <f ca="1">HYPERLINK("#" &amp; CELL("address", Concepts!$A$28), "Click here for definition")</f>
        <v>Click here for definition</v>
      </c>
    </row>
    <row r="231" spans="1:7" x14ac:dyDescent="0.2">
      <c r="A231">
        <v>230</v>
      </c>
      <c r="B231" t="s">
        <v>1097</v>
      </c>
      <c r="C231" s="53" t="str">
        <f ca="1">HYPERLINK("#" &amp; CELL("address", 'V1.31'!$A$2), "V1.31")</f>
        <v>V1.31</v>
      </c>
      <c r="D231" s="53" t="str">
        <f ca="1">HYPERLINK("#" &amp; CELL("address", 'V1.31'!$E$3), "Payment scheme")</f>
        <v>Payment scheme</v>
      </c>
      <c r="E231" s="53" t="str">
        <f ca="1">HYPERLINK("#" &amp; CELL("address", 'V1.31'!$E$7), "Not applicable")</f>
        <v>Not applicable</v>
      </c>
      <c r="F231" s="49" t="str">
        <f>'V1.31'!$F$7</f>
        <v>NOAP</v>
      </c>
      <c r="G231" s="53" t="str">
        <f ca="1">HYPERLINK("#" &amp; CELL("address", Concepts!$A$29), "Click here for definition")</f>
        <v>Click here for definition</v>
      </c>
    </row>
    <row r="232" spans="1:7" x14ac:dyDescent="0.2">
      <c r="A232">
        <v>231</v>
      </c>
      <c r="B232" t="s">
        <v>1097</v>
      </c>
      <c r="C232" s="53" t="str">
        <f ca="1">HYPERLINK("#" &amp; CELL("address", 'V1.31'!$A$2), "V1.31")</f>
        <v>V1.31</v>
      </c>
      <c r="D232" s="53" t="str">
        <f ca="1">HYPERLINK("#" &amp; CELL("address", 'V1.31'!$G$3), "Country of creditor's PSP")</f>
        <v>Country of creditor's PSP</v>
      </c>
      <c r="E232" s="53" t="str">
        <f ca="1">HYPERLINK("#" &amp; CELL("address", 'V1.31'!$G$4), "2-letter ISO 3166 country code")</f>
        <v>2-letter ISO 3166 country code</v>
      </c>
      <c r="F232" s="49" t="str">
        <f>'V1.31'!$H$4</f>
        <v>[Geo]</v>
      </c>
      <c r="G232" s="53" t="str">
        <f ca="1">HYPERLINK("#" &amp; CELL("address", Concepts!$A$145), "Click here for definition")</f>
        <v>Click here for definition</v>
      </c>
    </row>
    <row r="233" spans="1:7" x14ac:dyDescent="0.2">
      <c r="A233">
        <v>232</v>
      </c>
      <c r="B233" t="s">
        <v>1097</v>
      </c>
      <c r="C233" s="53" t="str">
        <f ca="1">HYPERLINK("#" &amp; CELL("address", 'V1.31'!$A$2), "V1.31")</f>
        <v>V1.31</v>
      </c>
      <c r="D233" s="53" t="str">
        <f ca="1">HYPERLINK("#" &amp; CELL("address", 'V1.31'!$I$3), "Currency")</f>
        <v>Currency</v>
      </c>
      <c r="E233" s="53" t="str">
        <f ca="1">HYPERLINK("#" &amp; CELL("address", 'V1.31'!$I$4), "3-letter ISO 4217 currency code")</f>
        <v>3-letter ISO 4217 currency code</v>
      </c>
      <c r="F233" s="49" t="str">
        <f>'V1.31'!$J$4</f>
        <v>[Currency]</v>
      </c>
      <c r="G233" s="53" t="str">
        <f ca="1">HYPERLINK("#" &amp; CELL("address", Concepts!$A$146), "Click here for definition")</f>
        <v>Click here for definition</v>
      </c>
    </row>
    <row r="234" spans="1:7" x14ac:dyDescent="0.2">
      <c r="A234">
        <v>233</v>
      </c>
      <c r="B234" t="s">
        <v>1097</v>
      </c>
      <c r="C234" s="53" t="str">
        <f ca="1">HYPERLINK("#" &amp; CELL("address", 'V1.31'!$A$2), "V1.31")</f>
        <v>V1.31</v>
      </c>
      <c r="D234" s="53" t="str">
        <f ca="1">HYPERLINK("#" &amp; CELL("address", 'V1.31'!$K$3), "Metric")</f>
        <v>Metric</v>
      </c>
      <c r="E234" s="53" t="str">
        <f ca="1">HYPERLINK("#" &amp; CELL("address", 'V1.31'!$K$4), "Number of transactions")</f>
        <v>Number of transactions</v>
      </c>
      <c r="F234" s="49" t="str">
        <f>'V1.31'!$L$4</f>
        <v>VOLU</v>
      </c>
      <c r="G234" s="53" t="str">
        <f ca="1">HYPERLINK("#" &amp; CELL("address", Concepts!$A$147), "Click here for definition")</f>
        <v>Click here for definition</v>
      </c>
    </row>
    <row r="235" spans="1:7" x14ac:dyDescent="0.2">
      <c r="A235">
        <v>234</v>
      </c>
      <c r="B235" t="s">
        <v>1097</v>
      </c>
      <c r="C235" s="53" t="str">
        <f ca="1">HYPERLINK("#" &amp; CELL("address", 'V1.31'!$A$2), "V1.31")</f>
        <v>V1.31</v>
      </c>
      <c r="D235" s="53" t="str">
        <f ca="1">HYPERLINK("#" &amp; CELL("address", 'V1.31'!$K$3), "Metric")</f>
        <v>Metric</v>
      </c>
      <c r="E235" s="53" t="str">
        <f ca="1">HYPERLINK("#" &amp; CELL("address", 'V1.31'!$K$5), "Value of transactions")</f>
        <v>Value of transactions</v>
      </c>
      <c r="F235" s="49" t="str">
        <f>'V1.31'!$L$5</f>
        <v>VALE</v>
      </c>
      <c r="G235" s="53" t="str">
        <f ca="1">HYPERLINK("#" &amp; CELL("address", Concepts!$A$148), "Click here for definition")</f>
        <v>Click here for definition</v>
      </c>
    </row>
    <row r="236" spans="1:7" x14ac:dyDescent="0.2">
      <c r="A236">
        <v>235</v>
      </c>
      <c r="B236" t="s">
        <v>1457</v>
      </c>
      <c r="C236" s="53" t="str">
        <f ca="1">HYPERLINK("#" &amp; CELL("address", 'V1.40'!$A$2), "V1.40")</f>
        <v>V1.40</v>
      </c>
      <c r="D236" s="53" t="str">
        <f ca="1">HYPERLINK("#" &amp; CELL("address", 'V1.40'!$A$3), "Payment scheme")</f>
        <v>Payment scheme</v>
      </c>
      <c r="E236" s="53" t="str">
        <f ca="1">HYPERLINK("#" &amp; CELL("address", 'V1.40'!$A$4), "SEPA Credit transfer")</f>
        <v>SEPA Credit transfer</v>
      </c>
      <c r="F236" s="49" t="str">
        <f>'V1.40'!$B$4</f>
        <v>SEPA</v>
      </c>
      <c r="G236" s="53" t="str">
        <f ca="1">HYPERLINK("#" &amp; CELL("address", Concepts!$A$26), "Click here for definition")</f>
        <v>Click here for definition</v>
      </c>
    </row>
    <row r="237" spans="1:7" x14ac:dyDescent="0.2">
      <c r="A237">
        <v>236</v>
      </c>
      <c r="B237" t="s">
        <v>1457</v>
      </c>
      <c r="C237" s="53" t="str">
        <f ca="1">HYPERLINK("#" &amp; CELL("address", 'V1.40'!$A$2), "V1.40")</f>
        <v>V1.40</v>
      </c>
      <c r="D237" s="53" t="str">
        <f ca="1">HYPERLINK("#" &amp; CELL("address", 'V1.40'!$A$3), "Payment scheme")</f>
        <v>Payment scheme</v>
      </c>
      <c r="E237" s="53" t="str">
        <f ca="1">HYPERLINK("#" &amp; CELL("address", 'V1.40'!$A$5), "SEPA Instant credit transfer")</f>
        <v>SEPA Instant credit transfer</v>
      </c>
      <c r="F237" s="49" t="str">
        <f>'V1.40'!$B$5</f>
        <v>SCTI</v>
      </c>
      <c r="G237" s="53" t="str">
        <f ca="1">HYPERLINK("#" &amp; CELL("address", Concepts!$A$27), "Click here for definition")</f>
        <v>Click here for definition</v>
      </c>
    </row>
    <row r="238" spans="1:7" x14ac:dyDescent="0.2">
      <c r="A238">
        <v>237</v>
      </c>
      <c r="B238" t="s">
        <v>1457</v>
      </c>
      <c r="C238" s="53" t="str">
        <f ca="1">HYPERLINK("#" &amp; CELL("address", 'V1.40'!$A$2), "V1.40")</f>
        <v>V1.40</v>
      </c>
      <c r="D238" s="53" t="str">
        <f ca="1">HYPERLINK("#" &amp; CELL("address", 'V1.40'!$A$3), "Payment scheme")</f>
        <v>Payment scheme</v>
      </c>
      <c r="E238" s="53" t="str">
        <f ca="1">HYPERLINK("#" &amp; CELL("address", 'V1.40'!$A$6), "SEPA Direct debit Core")</f>
        <v>SEPA Direct debit Core</v>
      </c>
      <c r="F238" s="49" t="str">
        <f>'V1.40'!$B$6</f>
        <v>SCOR</v>
      </c>
      <c r="G238" s="53" t="str">
        <f ca="1">HYPERLINK("#" &amp; CELL("address", Concepts!$A$67), "Click here for definition")</f>
        <v>Click here for definition</v>
      </c>
    </row>
    <row r="239" spans="1:7" x14ac:dyDescent="0.2">
      <c r="A239">
        <v>238</v>
      </c>
      <c r="B239" t="s">
        <v>1457</v>
      </c>
      <c r="C239" s="53" t="str">
        <f ca="1">HYPERLINK("#" &amp; CELL("address", 'V1.40'!$A$2), "V1.40")</f>
        <v>V1.40</v>
      </c>
      <c r="D239" s="53" t="str">
        <f ca="1">HYPERLINK("#" &amp; CELL("address", 'V1.40'!$A$3), "Payment scheme")</f>
        <v>Payment scheme</v>
      </c>
      <c r="E239" s="53" t="str">
        <f ca="1">HYPERLINK("#" &amp; CELL("address", 'V1.40'!$A$7), "SEPA Direct debit B2B")</f>
        <v>SEPA Direct debit B2B</v>
      </c>
      <c r="F239" s="49" t="str">
        <f>'V1.40'!$B$7</f>
        <v>SB2B</v>
      </c>
      <c r="G239" s="53" t="str">
        <f ca="1">HYPERLINK("#" &amp; CELL("address", Concepts!$A$68), "Click here for definition")</f>
        <v>Click here for definition</v>
      </c>
    </row>
    <row r="240" spans="1:7" x14ac:dyDescent="0.2">
      <c r="A240">
        <v>239</v>
      </c>
      <c r="B240" t="s">
        <v>1457</v>
      </c>
      <c r="C240" s="53" t="str">
        <f ca="1">HYPERLINK("#" &amp; CELL("address", 'V1.40'!$A$2), "V1.40")</f>
        <v>V1.40</v>
      </c>
      <c r="D240" s="53" t="str">
        <f ca="1">HYPERLINK("#" &amp; CELL("address", 'V1.40'!$C$3), "Role of reporting PSP")</f>
        <v>Role of reporting PSP</v>
      </c>
      <c r="E240" s="53" t="str">
        <f ca="1">HYPERLINK("#" &amp; CELL("address", 'V1.40'!$C$4), "Debtor's PSP")</f>
        <v>Debtor's PSP</v>
      </c>
      <c r="F240" s="49" t="str">
        <f>'V1.40'!$D$4</f>
        <v>DPSP</v>
      </c>
      <c r="G240" s="53" t="str">
        <f ca="1">HYPERLINK("#" &amp; CELL("address", Concepts!$A$76), "Click here for definition")</f>
        <v>Click here for definition</v>
      </c>
    </row>
    <row r="241" spans="1:7" x14ac:dyDescent="0.2">
      <c r="A241">
        <v>240</v>
      </c>
      <c r="B241" t="s">
        <v>1457</v>
      </c>
      <c r="C241" s="53" t="str">
        <f ca="1">HYPERLINK("#" &amp; CELL("address", 'V1.40'!$A$2), "V1.40")</f>
        <v>V1.40</v>
      </c>
      <c r="D241" s="53" t="str">
        <f ca="1">HYPERLINK("#" &amp; CELL("address", 'V1.40'!$C$3), "Role of reporting PSP")</f>
        <v>Role of reporting PSP</v>
      </c>
      <c r="E241" s="53" t="str">
        <f ca="1">HYPERLINK("#" &amp; CELL("address", 'V1.40'!$C$5), "Creditor's PSP")</f>
        <v>Creditor's PSP</v>
      </c>
      <c r="F241" s="49" t="str">
        <f>'V1.40'!$D$5</f>
        <v>CPSP</v>
      </c>
      <c r="G241" s="53" t="str">
        <f ca="1">HYPERLINK("#" &amp; CELL("address", Concepts!$A$77), "Click here for definition")</f>
        <v>Click here for definition</v>
      </c>
    </row>
    <row r="242" spans="1:7" x14ac:dyDescent="0.2">
      <c r="A242">
        <v>241</v>
      </c>
      <c r="B242" t="s">
        <v>1457</v>
      </c>
      <c r="C242" s="53" t="str">
        <f ca="1">HYPERLINK("#" &amp; CELL("address", 'V1.40'!$A$2), "V1.40")</f>
        <v>V1.40</v>
      </c>
      <c r="D242" s="53" t="str">
        <f ca="1">HYPERLINK("#" &amp; CELL("address", 'V1.40'!$E$3), "Customer category")</f>
        <v>Customer category</v>
      </c>
      <c r="E242" s="53" t="str">
        <f ca="1">HYPERLINK("#" &amp; CELL("address", 'V1.40'!$E$5), "Credit institution")</f>
        <v>Credit institution</v>
      </c>
      <c r="F242" s="49" t="str">
        <f>'V1.40'!$F$5</f>
        <v>CRIN</v>
      </c>
      <c r="G242" s="53" t="str">
        <f ca="1">HYPERLINK("#" &amp; CELL("address", Concepts!$A$7), "Click here for definition")</f>
        <v>Click here for definition</v>
      </c>
    </row>
    <row r="243" spans="1:7" x14ac:dyDescent="0.2">
      <c r="A243">
        <v>242</v>
      </c>
      <c r="B243" t="s">
        <v>1457</v>
      </c>
      <c r="C243" s="53" t="str">
        <f ca="1">HYPERLINK("#" &amp; CELL("address", 'V1.40'!$A$2), "V1.40")</f>
        <v>V1.40</v>
      </c>
      <c r="D243" s="53" t="str">
        <f ca="1">HYPERLINK("#" &amp; CELL("address", 'V1.40'!$E$3), "Customer category")</f>
        <v>Customer category</v>
      </c>
      <c r="E243" s="53" t="str">
        <f ca="1">HYPERLINK("#" &amp; CELL("address", 'V1.40'!$E$6), "Monetary fund")</f>
        <v>Monetary fund</v>
      </c>
      <c r="F243" s="49" t="str">
        <f>'V1.40'!$F$6</f>
        <v>MOFU</v>
      </c>
      <c r="G243" s="53" t="str">
        <f ca="1">HYPERLINK("#" &amp; CELL("address", Concepts!$A$8), "Click here for definition")</f>
        <v>Click here for definition</v>
      </c>
    </row>
    <row r="244" spans="1:7" x14ac:dyDescent="0.2">
      <c r="A244">
        <v>243</v>
      </c>
      <c r="B244" t="s">
        <v>1457</v>
      </c>
      <c r="C244" s="53" t="str">
        <f ca="1">HYPERLINK("#" &amp; CELL("address", 'V1.40'!$A$2), "V1.40")</f>
        <v>V1.40</v>
      </c>
      <c r="D244" s="53" t="str">
        <f ca="1">HYPERLINK("#" &amp; CELL("address", 'V1.40'!$E$3), "Customer category")</f>
        <v>Customer category</v>
      </c>
      <c r="E244" s="53" t="str">
        <f ca="1">HYPERLINK("#" &amp; CELL("address", 'V1.40'!$E$7), "Electronic money institution")</f>
        <v>Electronic money institution</v>
      </c>
      <c r="F244" s="49" t="str">
        <f>'V1.40'!$F$7</f>
        <v>ELMI</v>
      </c>
      <c r="G244" s="53" t="str">
        <f ca="1">HYPERLINK("#" &amp; CELL("address", Concepts!$A$9), "Click here for definition")</f>
        <v>Click here for definition</v>
      </c>
    </row>
    <row r="245" spans="1:7" x14ac:dyDescent="0.2">
      <c r="A245">
        <v>244</v>
      </c>
      <c r="B245" t="s">
        <v>1457</v>
      </c>
      <c r="C245" s="53" t="str">
        <f ca="1">HYPERLINK("#" &amp; CELL("address", 'V1.40'!$A$2), "V1.40")</f>
        <v>V1.40</v>
      </c>
      <c r="D245" s="53" t="str">
        <f ca="1">HYPERLINK("#" &amp; CELL("address", 'V1.40'!$E$3), "Customer category")</f>
        <v>Customer category</v>
      </c>
      <c r="E245" s="53" t="str">
        <f ca="1">HYPERLINK("#" &amp; CELL("address", 'V1.40'!$E$8), "Payment institution")</f>
        <v>Payment institution</v>
      </c>
      <c r="F245" s="49" t="str">
        <f>'V1.40'!$F$8</f>
        <v>PMIN</v>
      </c>
      <c r="G245" s="53" t="str">
        <f ca="1">HYPERLINK("#" &amp; CELL("address", Concepts!$A$13), "Click here for definition")</f>
        <v>Click here for definition</v>
      </c>
    </row>
    <row r="246" spans="1:7" x14ac:dyDescent="0.2">
      <c r="A246">
        <v>245</v>
      </c>
      <c r="B246" t="s">
        <v>1457</v>
      </c>
      <c r="C246" s="53" t="str">
        <f ca="1">HYPERLINK("#" &amp; CELL("address", 'V1.40'!$A$2), "V1.40")</f>
        <v>V1.40</v>
      </c>
      <c r="D246" s="53" t="str">
        <f ca="1">HYPERLINK("#" &amp; CELL("address", 'V1.40'!$E$3), "Customer category")</f>
        <v>Customer category</v>
      </c>
      <c r="E246" s="53" t="str">
        <f ca="1">HYPERLINK("#" &amp; CELL("address", 'V1.40'!$E$9), "Other MFI")</f>
        <v>Other MFI</v>
      </c>
      <c r="F246" s="49" t="str">
        <f>'V1.40'!$F$9</f>
        <v>OMFI</v>
      </c>
      <c r="G246" s="53" t="str">
        <f ca="1">HYPERLINK("#" &amp; CELL("address", Concepts!$A$10), "Click here for definition")</f>
        <v>Click here for definition</v>
      </c>
    </row>
    <row r="247" spans="1:7" x14ac:dyDescent="0.2">
      <c r="A247">
        <v>246</v>
      </c>
      <c r="B247" t="s">
        <v>1457</v>
      </c>
      <c r="C247" s="53" t="str">
        <f ca="1">HYPERLINK("#" &amp; CELL("address", 'V1.40'!$A$2), "V1.40")</f>
        <v>V1.40</v>
      </c>
      <c r="D247" s="53" t="str">
        <f ca="1">HYPERLINK("#" &amp; CELL("address", 'V1.40'!$E$3), "Customer category")</f>
        <v>Customer category</v>
      </c>
      <c r="E247" s="53" t="str">
        <f ca="1">HYPERLINK("#" &amp; CELL("address", 'V1.40'!$E$11), "Non-monetary fund")</f>
        <v>Non-monetary fund</v>
      </c>
      <c r="F247" s="49" t="str">
        <f>'V1.40'!$F$11</f>
        <v>NMFU</v>
      </c>
      <c r="G247" s="53" t="str">
        <f ca="1">HYPERLINK("#" &amp; CELL("address", Concepts!$A$12), "Click here for definition")</f>
        <v>Click here for definition</v>
      </c>
    </row>
    <row r="248" spans="1:7" x14ac:dyDescent="0.2">
      <c r="A248">
        <v>247</v>
      </c>
      <c r="B248" t="s">
        <v>1457</v>
      </c>
      <c r="C248" s="53" t="str">
        <f ca="1">HYPERLINK("#" &amp; CELL("address", 'V1.40'!$A$2), "V1.40")</f>
        <v>V1.40</v>
      </c>
      <c r="D248" s="53" t="str">
        <f ca="1">HYPERLINK("#" &amp; CELL("address", 'V1.40'!$E$3), "Customer category")</f>
        <v>Customer category</v>
      </c>
      <c r="E248" s="53" t="str">
        <f ca="1">HYPERLINK("#" &amp; CELL("address", 'V1.40'!$E$12), "Households and NPISHs")</f>
        <v>Households and NPISHs</v>
      </c>
      <c r="F248" s="49" t="str">
        <f>'V1.40'!$F$12</f>
        <v>HSNP</v>
      </c>
      <c r="G248" s="53" t="str">
        <f ca="1">HYPERLINK("#" &amp; CELL("address", Concepts!$A$14), "Click here for definition")</f>
        <v>Click here for definition</v>
      </c>
    </row>
    <row r="249" spans="1:7" x14ac:dyDescent="0.2">
      <c r="A249">
        <v>248</v>
      </c>
      <c r="B249" t="s">
        <v>1457</v>
      </c>
      <c r="C249" s="53" t="str">
        <f ca="1">HYPERLINK("#" &amp; CELL("address", 'V1.40'!$A$2), "V1.40")</f>
        <v>V1.40</v>
      </c>
      <c r="D249" s="53" t="str">
        <f ca="1">HYPERLINK("#" &amp; CELL("address", 'V1.40'!$E$3), "Customer category")</f>
        <v>Customer category</v>
      </c>
      <c r="E249" s="53" t="str">
        <f ca="1">HYPERLINK("#" &amp; CELL("address", 'V1.40'!$E$13), "Non-financial corporations")</f>
        <v>Non-financial corporations</v>
      </c>
      <c r="F249" s="49" t="str">
        <f>'V1.40'!$F$13</f>
        <v>CORP</v>
      </c>
      <c r="G249" s="53" t="str">
        <f ca="1">HYPERLINK("#" &amp; CELL("address", Concepts!$A$15), "Click here for definition")</f>
        <v>Click here for definition</v>
      </c>
    </row>
    <row r="250" spans="1:7" x14ac:dyDescent="0.2">
      <c r="A250">
        <v>249</v>
      </c>
      <c r="B250" t="s">
        <v>1457</v>
      </c>
      <c r="C250" s="53" t="str">
        <f ca="1">HYPERLINK("#" &amp; CELL("address", 'V1.40'!$A$2), "V1.40")</f>
        <v>V1.40</v>
      </c>
      <c r="D250" s="53" t="str">
        <f ca="1">HYPERLINK("#" &amp; CELL("address", 'V1.40'!$E$3), "Customer category")</f>
        <v>Customer category</v>
      </c>
      <c r="E250" s="53" t="str">
        <f ca="1">HYPERLINK("#" &amp; CELL("address", 'V1.40'!$E$14), "Other non-MFI")</f>
        <v>Other non-MFI</v>
      </c>
      <c r="F250" s="49" t="str">
        <f>'V1.40'!$F$14</f>
        <v>ONMF</v>
      </c>
      <c r="G250" s="53" t="str">
        <f ca="1">HYPERLINK("#" &amp; CELL("address", Concepts!$A$16), "Click here for definition")</f>
        <v>Click here for definition</v>
      </c>
    </row>
    <row r="251" spans="1:7" x14ac:dyDescent="0.2">
      <c r="A251">
        <v>250</v>
      </c>
      <c r="B251" t="s">
        <v>1457</v>
      </c>
      <c r="C251" s="53" t="str">
        <f ca="1">HYPERLINK("#" &amp; CELL("address", 'V1.40'!$A$2), "V1.40")</f>
        <v>V1.40</v>
      </c>
      <c r="D251" s="53" t="str">
        <f ca="1">HYPERLINK("#" &amp; CELL("address", 'V1.40'!$E$3), "Customer category")</f>
        <v>Customer category</v>
      </c>
      <c r="E251" s="53" t="str">
        <f ca="1">HYPERLINK("#" &amp; CELL("address", 'V1.40'!$E$15), "Own account operation")</f>
        <v>Own account operation</v>
      </c>
      <c r="F251" s="49" t="str">
        <f>'V1.40'!$F$15</f>
        <v>OWNA</v>
      </c>
      <c r="G251" s="53" t="str">
        <f ca="1">HYPERLINK("#" &amp; CELL("address", Concepts!$A$17), "Click here for definition")</f>
        <v>Click here for definition</v>
      </c>
    </row>
    <row r="252" spans="1:7" x14ac:dyDescent="0.2">
      <c r="A252">
        <v>251</v>
      </c>
      <c r="B252" t="s">
        <v>1457</v>
      </c>
      <c r="C252" s="53" t="str">
        <f ca="1">HYPERLINK("#" &amp; CELL("address", 'V1.40'!$A$2), "V1.40")</f>
        <v>V1.40</v>
      </c>
      <c r="D252" s="53" t="str">
        <f ca="1">HYPERLINK("#" &amp; CELL("address", 'V1.40'!$E$3), "Customer category")</f>
        <v>Customer category</v>
      </c>
      <c r="E252" s="53" t="str">
        <f ca="1">HYPERLINK("#" &amp; CELL("address", 'V1.40'!$E$16), "Unknown")</f>
        <v>Unknown</v>
      </c>
      <c r="F252" s="49" t="str">
        <f>'V1.40'!$F$16</f>
        <v>UNKN</v>
      </c>
      <c r="G252" s="53" t="str">
        <f ca="1">HYPERLINK("#" &amp; CELL("address", Concepts!$A$18), "Click here for definition")</f>
        <v>Click here for definition</v>
      </c>
    </row>
    <row r="253" spans="1:7" x14ac:dyDescent="0.2">
      <c r="A253">
        <v>252</v>
      </c>
      <c r="B253" t="s">
        <v>1457</v>
      </c>
      <c r="C253" s="53" t="str">
        <f ca="1">HYPERLINK("#" &amp; CELL("address", 'V1.40'!$A$2), "V1.40")</f>
        <v>V1.40</v>
      </c>
      <c r="D253" s="53" t="str">
        <f ca="1">HYPERLINK("#" &amp; CELL("address", 'V1.40'!$G$3), "Settlement channel")</f>
        <v>Settlement channel</v>
      </c>
      <c r="E253" s="53" t="str">
        <f ca="1">HYPERLINK("#" &amp; CELL("address", 'V1.40'!$G$5), "T2 RTGS")</f>
        <v>T2 RTGS</v>
      </c>
      <c r="F253" s="49" t="str">
        <f>'V1.40'!$H$5</f>
        <v>TAR2</v>
      </c>
      <c r="G253" s="53"/>
    </row>
    <row r="254" spans="1:7" x14ac:dyDescent="0.2">
      <c r="A254">
        <v>253</v>
      </c>
      <c r="B254" t="s">
        <v>1457</v>
      </c>
      <c r="C254" s="53" t="str">
        <f ca="1">HYPERLINK("#" &amp; CELL("address", 'V1.40'!$A$2), "V1.40")</f>
        <v>V1.40</v>
      </c>
      <c r="D254" s="53" t="str">
        <f ca="1">HYPERLINK("#" &amp; CELL("address", 'V1.40'!$G$3), "Settlement channel")</f>
        <v>Settlement channel</v>
      </c>
      <c r="E254" s="53" t="str">
        <f ca="1">HYPERLINK("#" &amp; CELL("address", 'V1.40'!$G$6), "Euro1")</f>
        <v>Euro1</v>
      </c>
      <c r="F254" s="49" t="str">
        <f>'V1.40'!$H$6</f>
        <v>EUR1</v>
      </c>
      <c r="G254" s="53"/>
    </row>
    <row r="255" spans="1:7" x14ac:dyDescent="0.2">
      <c r="A255">
        <v>254</v>
      </c>
      <c r="B255" t="s">
        <v>1457</v>
      </c>
      <c r="C255" s="53" t="str">
        <f ca="1">HYPERLINK("#" &amp; CELL("address", 'V1.40'!$A$2), "V1.40")</f>
        <v>V1.40</v>
      </c>
      <c r="D255" s="53" t="str">
        <f ca="1">HYPERLINK("#" &amp; CELL("address", 'V1.40'!$G$3), "Settlement channel")</f>
        <v>Settlement channel</v>
      </c>
      <c r="E255" s="53" t="str">
        <f ca="1">HYPERLINK("#" &amp; CELL("address", 'V1.40'!$G$7), "Step1")</f>
        <v>Step1</v>
      </c>
      <c r="F255" s="49" t="str">
        <f>'V1.40'!$H$7</f>
        <v>STE1</v>
      </c>
      <c r="G255" s="53"/>
    </row>
    <row r="256" spans="1:7" x14ac:dyDescent="0.2">
      <c r="A256">
        <v>255</v>
      </c>
      <c r="B256" t="s">
        <v>1457</v>
      </c>
      <c r="C256" s="53" t="str">
        <f ca="1">HYPERLINK("#" &amp; CELL("address", 'V1.40'!$A$2), "V1.40")</f>
        <v>V1.40</v>
      </c>
      <c r="D256" s="53" t="str">
        <f ca="1">HYPERLINK("#" &amp; CELL("address", 'V1.40'!$G$3), "Settlement channel")</f>
        <v>Settlement channel</v>
      </c>
      <c r="E256" s="53" t="str">
        <f ca="1">HYPERLINK("#" &amp; CELL("address", 'V1.40'!$G$8), "Step2")</f>
        <v>Step2</v>
      </c>
      <c r="F256" s="49" t="str">
        <f>'V1.40'!$H$8</f>
        <v>STE2</v>
      </c>
      <c r="G256" s="53"/>
    </row>
    <row r="257" spans="1:7" x14ac:dyDescent="0.2">
      <c r="A257">
        <v>256</v>
      </c>
      <c r="B257" t="s">
        <v>1457</v>
      </c>
      <c r="C257" s="53" t="str">
        <f ca="1">HYPERLINK("#" &amp; CELL("address", 'V1.40'!$A$2), "V1.40")</f>
        <v>V1.40</v>
      </c>
      <c r="D257" s="53" t="str">
        <f ca="1">HYPERLINK("#" &amp; CELL("address", 'V1.40'!$G$3), "Settlement channel")</f>
        <v>Settlement channel</v>
      </c>
      <c r="E257" s="53" t="str">
        <f ca="1">HYPERLINK("#" &amp; CELL("address", 'V1.40'!$G$9), "Equens")</f>
        <v>Equens</v>
      </c>
      <c r="F257" s="49" t="str">
        <f>'V1.40'!$H$9</f>
        <v>EQUE</v>
      </c>
      <c r="G257" s="53"/>
    </row>
    <row r="258" spans="1:7" x14ac:dyDescent="0.2">
      <c r="A258">
        <v>257</v>
      </c>
      <c r="B258" t="s">
        <v>1457</v>
      </c>
      <c r="C258" s="53" t="str">
        <f ca="1">HYPERLINK("#" &amp; CELL("address", 'V1.40'!$A$2), "V1.40")</f>
        <v>V1.40</v>
      </c>
      <c r="D258" s="53" t="str">
        <f ca="1">HYPERLINK("#" &amp; CELL("address", 'V1.40'!$G$3), "Settlement channel")</f>
        <v>Settlement channel</v>
      </c>
      <c r="E258" s="53" t="str">
        <f ca="1">HYPERLINK("#" &amp; CELL("address", 'V1.40'!$G$11), "TIPS")</f>
        <v>TIPS</v>
      </c>
      <c r="F258" s="49" t="str">
        <f>'V1.40'!$H$11</f>
        <v>TIPS</v>
      </c>
      <c r="G258" s="53"/>
    </row>
    <row r="259" spans="1:7" x14ac:dyDescent="0.2">
      <c r="A259">
        <v>258</v>
      </c>
      <c r="B259" t="s">
        <v>1457</v>
      </c>
      <c r="C259" s="53" t="str">
        <f ca="1">HYPERLINK("#" &amp; CELL("address", 'V1.40'!$A$2), "V1.40")</f>
        <v>V1.40</v>
      </c>
      <c r="D259" s="53" t="str">
        <f ca="1">HYPERLINK("#" &amp; CELL("address", 'V1.40'!$G$3), "Settlement channel")</f>
        <v>Settlement channel</v>
      </c>
      <c r="E259" s="53" t="str">
        <f ca="1">HYPERLINK("#" &amp; CELL("address", 'V1.40'!$G$12), "RT1")</f>
        <v>RT1</v>
      </c>
      <c r="F259" s="49" t="str">
        <f>'V1.40'!$H$12</f>
        <v>ERT1</v>
      </c>
      <c r="G259" s="53"/>
    </row>
    <row r="260" spans="1:7" x14ac:dyDescent="0.2">
      <c r="A260">
        <v>259</v>
      </c>
      <c r="B260" t="s">
        <v>1457</v>
      </c>
      <c r="C260" s="53" t="str">
        <f ca="1">HYPERLINK("#" &amp; CELL("address", 'V1.40'!$A$2), "V1.40")</f>
        <v>V1.40</v>
      </c>
      <c r="D260" s="53" t="str">
        <f ca="1">HYPERLINK("#" &amp; CELL("address", 'V1.40'!$G$3), "Settlement channel")</f>
        <v>Settlement channel</v>
      </c>
      <c r="E260" s="53" t="str">
        <f ca="1">HYPERLINK("#" &amp; CELL("address", 'V1.40'!$G$13), "Other instant")</f>
        <v>Other instant</v>
      </c>
      <c r="F260" s="49" t="str">
        <f>'V1.40'!$H$13</f>
        <v>OTHI</v>
      </c>
      <c r="G260" s="53" t="str">
        <f ca="1">HYPERLINK("#" &amp; CELL("address", Concepts!$A$19), "Click here for definition")</f>
        <v>Click here for definition</v>
      </c>
    </row>
    <row r="261" spans="1:7" x14ac:dyDescent="0.2">
      <c r="A261">
        <v>260</v>
      </c>
      <c r="B261" t="s">
        <v>1457</v>
      </c>
      <c r="C261" s="53" t="str">
        <f ca="1">HYPERLINK("#" &amp; CELL("address", 'V1.40'!$A$2), "V1.40")</f>
        <v>V1.40</v>
      </c>
      <c r="D261" s="53" t="str">
        <f ca="1">HYPERLINK("#" &amp; CELL("address", 'V1.40'!$G$3), "Settlement channel")</f>
        <v>Settlement channel</v>
      </c>
      <c r="E261" s="53" t="str">
        <f ca="1">HYPERLINK("#" &amp; CELL("address", 'V1.40'!$G$14), "On-us")</f>
        <v>On-us</v>
      </c>
      <c r="F261" s="49" t="str">
        <f>'V1.40'!$H$14</f>
        <v>ONUS</v>
      </c>
      <c r="G261" s="53" t="str">
        <f ca="1">HYPERLINK("#" &amp; CELL("address", Concepts!$A$20), "Click here for definition")</f>
        <v>Click here for definition</v>
      </c>
    </row>
    <row r="262" spans="1:7" x14ac:dyDescent="0.2">
      <c r="A262">
        <v>261</v>
      </c>
      <c r="B262" t="s">
        <v>1457</v>
      </c>
      <c r="C262" s="53" t="str">
        <f ca="1">HYPERLINK("#" &amp; CELL("address", 'V1.40'!$A$2), "V1.40")</f>
        <v>V1.40</v>
      </c>
      <c r="D262" s="53" t="str">
        <f ca="1">HYPERLINK("#" &amp; CELL("address", 'V1.40'!$G$3), "Settlement channel")</f>
        <v>Settlement channel</v>
      </c>
      <c r="E262" s="53" t="str">
        <f ca="1">HYPERLINK("#" &amp; CELL("address", 'V1.40'!$G$15), "PSP LU")</f>
        <v>PSP LU</v>
      </c>
      <c r="F262" s="49" t="str">
        <f>'V1.40'!$H$15</f>
        <v>PSPL</v>
      </c>
      <c r="G262" s="53" t="str">
        <f ca="1">HYPERLINK("#" &amp; CELL("address", Concepts!$A$23), "Click here for definition")</f>
        <v>Click here for definition</v>
      </c>
    </row>
    <row r="263" spans="1:7" x14ac:dyDescent="0.2">
      <c r="A263">
        <v>262</v>
      </c>
      <c r="B263" t="s">
        <v>1457</v>
      </c>
      <c r="C263" s="53" t="str">
        <f ca="1">HYPERLINK("#" &amp; CELL("address", 'V1.40'!$A$2), "V1.40")</f>
        <v>V1.40</v>
      </c>
      <c r="D263" s="53" t="str">
        <f ca="1">HYPERLINK("#" &amp; CELL("address", 'V1.40'!$G$3), "Settlement channel")</f>
        <v>Settlement channel</v>
      </c>
      <c r="E263" s="53" t="str">
        <f ca="1">HYPERLINK("#" &amp; CELL("address", 'V1.40'!$G$16), "PSP non-LU")</f>
        <v>PSP non-LU</v>
      </c>
      <c r="F263" s="49" t="str">
        <f>'V1.40'!$H$16</f>
        <v>PSPN</v>
      </c>
      <c r="G263" s="53" t="str">
        <f ca="1">HYPERLINK("#" &amp; CELL("address", Concepts!$A$24), "Click here for definition")</f>
        <v>Click here for definition</v>
      </c>
    </row>
    <row r="264" spans="1:7" x14ac:dyDescent="0.2">
      <c r="A264">
        <v>263</v>
      </c>
      <c r="B264" t="s">
        <v>1457</v>
      </c>
      <c r="C264" s="53" t="str">
        <f ca="1">HYPERLINK("#" &amp; CELL("address", 'V1.40'!$A$2), "V1.40")</f>
        <v>V1.40</v>
      </c>
      <c r="D264" s="53" t="str">
        <f ca="1">HYPERLINK("#" &amp; CELL("address", 'V1.40'!$G$3), "Settlement channel")</f>
        <v>Settlement channel</v>
      </c>
      <c r="E264" s="53" t="str">
        <f ca="1">HYPERLINK("#" &amp; CELL("address", 'V1.40'!$G$17), "Other")</f>
        <v>Other</v>
      </c>
      <c r="F264" s="49" t="str">
        <f>'V1.40'!$H$17</f>
        <v>OTHR</v>
      </c>
      <c r="G264" s="53" t="str">
        <f ca="1">HYPERLINK("#" &amp; CELL("address", Concepts!$A$25), "Click here for definition")</f>
        <v>Click here for definition</v>
      </c>
    </row>
    <row r="265" spans="1:7" x14ac:dyDescent="0.2">
      <c r="A265">
        <v>264</v>
      </c>
      <c r="B265" t="s">
        <v>1457</v>
      </c>
      <c r="C265" s="53" t="str">
        <f ca="1">HYPERLINK("#" &amp; CELL("address", 'V1.40'!$A$2), "V1.40")</f>
        <v>V1.40</v>
      </c>
      <c r="D265" s="53" t="str">
        <f ca="1">HYPERLINK("#" &amp; CELL("address", 'V1.40'!$I$3), "R-transaction type")</f>
        <v>R-transaction type</v>
      </c>
      <c r="E265" s="53" t="str">
        <f ca="1">HYPERLINK("#" &amp; CELL("address", 'V1.40'!$I$5), "Return (SCT)")</f>
        <v>Return (SCT)</v>
      </c>
      <c r="F265" s="49" t="str">
        <f>'V1.40'!$J$5</f>
        <v>CRET</v>
      </c>
      <c r="G265" s="53" t="str">
        <f ca="1">HYPERLINK("#" &amp; CELL("address", Concepts!$A$78), "Click here for definition")</f>
        <v>Click here for definition</v>
      </c>
    </row>
    <row r="266" spans="1:7" x14ac:dyDescent="0.2">
      <c r="A266">
        <v>265</v>
      </c>
      <c r="B266" t="s">
        <v>1457</v>
      </c>
      <c r="C266" s="53" t="str">
        <f ca="1">HYPERLINK("#" &amp; CELL("address", 'V1.40'!$A$2), "V1.40")</f>
        <v>V1.40</v>
      </c>
      <c r="D266" s="53" t="str">
        <f ca="1">HYPERLINK("#" &amp; CELL("address", 'V1.40'!$I$3), "R-transaction type")</f>
        <v>R-transaction type</v>
      </c>
      <c r="E266" s="53" t="str">
        <f ca="1">HYPERLINK("#" &amp; CELL("address", 'V1.40'!$I$6), "Recall (SCT)")</f>
        <v>Recall (SCT)</v>
      </c>
      <c r="F266" s="49" t="str">
        <f>'V1.40'!$J$6</f>
        <v>CREC</v>
      </c>
      <c r="G266" s="53" t="str">
        <f ca="1">HYPERLINK("#" &amp; CELL("address", Concepts!$A$79), "Click here for definition")</f>
        <v>Click here for definition</v>
      </c>
    </row>
    <row r="267" spans="1:7" x14ac:dyDescent="0.2">
      <c r="A267">
        <v>266</v>
      </c>
      <c r="B267" t="s">
        <v>1457</v>
      </c>
      <c r="C267" s="53" t="str">
        <f ca="1">HYPERLINK("#" &amp; CELL("address", 'V1.40'!$A$2), "V1.40")</f>
        <v>V1.40</v>
      </c>
      <c r="D267" s="53" t="str">
        <f ca="1">HYPERLINK("#" &amp; CELL("address", 'V1.40'!$I$3), "R-transaction type")</f>
        <v>R-transaction type</v>
      </c>
      <c r="E267" s="53" t="str">
        <f ca="1">HYPERLINK("#" &amp; CELL("address", 'V1.40'!$I$8), "Request for recall by the originator")</f>
        <v>Request for recall by the originator</v>
      </c>
      <c r="F267" s="49" t="str">
        <f>'V1.40'!$J$8</f>
        <v>IRFR</v>
      </c>
      <c r="G267" s="53" t="str">
        <f ca="1">HYPERLINK("#" &amp; CELL("address", Concepts!$A$80), "Click here for definition")</f>
        <v>Click here for definition</v>
      </c>
    </row>
    <row r="268" spans="1:7" x14ac:dyDescent="0.2">
      <c r="A268">
        <v>267</v>
      </c>
      <c r="B268" t="s">
        <v>1457</v>
      </c>
      <c r="C268" s="53" t="str">
        <f ca="1">HYPERLINK("#" &amp; CELL("address", 'V1.40'!$A$2), "V1.40")</f>
        <v>V1.40</v>
      </c>
      <c r="D268" s="53" t="str">
        <f ca="1">HYPERLINK("#" &amp; CELL("address", 'V1.40'!$I$3), "R-transaction type")</f>
        <v>R-transaction type</v>
      </c>
      <c r="E268" s="53" t="str">
        <f ca="1">HYPERLINK("#" &amp; CELL("address", 'V1.40'!$I$9), "Recall (SCTInst)")</f>
        <v>Recall (SCTInst)</v>
      </c>
      <c r="F268" s="49" t="str">
        <f>'V1.40'!$J$9</f>
        <v>IREC</v>
      </c>
      <c r="G268" s="53" t="str">
        <f ca="1">HYPERLINK("#" &amp; CELL("address", Concepts!$A$81), "Click here for definition")</f>
        <v>Click here for definition</v>
      </c>
    </row>
    <row r="269" spans="1:7" x14ac:dyDescent="0.2">
      <c r="A269">
        <v>268</v>
      </c>
      <c r="B269" t="s">
        <v>1457</v>
      </c>
      <c r="C269" s="53" t="str">
        <f ca="1">HYPERLINK("#" &amp; CELL("address", 'V1.40'!$A$2), "V1.40")</f>
        <v>V1.40</v>
      </c>
      <c r="D269" s="53" t="str">
        <f ca="1">HYPERLINK("#" &amp; CELL("address", 'V1.40'!$I$3), "R-transaction type")</f>
        <v>R-transaction type</v>
      </c>
      <c r="E269" s="53" t="str">
        <f ca="1">HYPERLINK("#" &amp; CELL("address", 'V1.40'!$I$11), "Reject")</f>
        <v>Reject</v>
      </c>
      <c r="F269" s="49" t="str">
        <f>'V1.40'!$J$11</f>
        <v>DREJ</v>
      </c>
      <c r="G269" s="53" t="str">
        <f ca="1">HYPERLINK("#" &amp; CELL("address", Concepts!$A$82), "Click here for definition")</f>
        <v>Click here for definition</v>
      </c>
    </row>
    <row r="270" spans="1:7" x14ac:dyDescent="0.2">
      <c r="A270">
        <v>269</v>
      </c>
      <c r="B270" t="s">
        <v>1457</v>
      </c>
      <c r="C270" s="53" t="str">
        <f ca="1">HYPERLINK("#" &amp; CELL("address", 'V1.40'!$A$2), "V1.40")</f>
        <v>V1.40</v>
      </c>
      <c r="D270" s="53" t="str">
        <f ca="1">HYPERLINK("#" &amp; CELL("address", 'V1.40'!$I$3), "R-transaction type")</f>
        <v>R-transaction type</v>
      </c>
      <c r="E270" s="53" t="str">
        <f ca="1">HYPERLINK("#" &amp; CELL("address", 'V1.40'!$I$12), "Return (SDD)")</f>
        <v>Return (SDD)</v>
      </c>
      <c r="F270" s="49" t="str">
        <f>'V1.40'!$J$12</f>
        <v>DRET</v>
      </c>
      <c r="G270" s="53" t="str">
        <f ca="1">HYPERLINK("#" &amp; CELL("address", Concepts!$A$83), "Click here for definition")</f>
        <v>Click here for definition</v>
      </c>
    </row>
    <row r="271" spans="1:7" x14ac:dyDescent="0.2">
      <c r="A271">
        <v>270</v>
      </c>
      <c r="B271" t="s">
        <v>1457</v>
      </c>
      <c r="C271" s="53" t="str">
        <f ca="1">HYPERLINK("#" &amp; CELL("address", 'V1.40'!$A$2), "V1.40")</f>
        <v>V1.40</v>
      </c>
      <c r="D271" s="53" t="str">
        <f ca="1">HYPERLINK("#" &amp; CELL("address", 'V1.40'!$I$3), "R-transaction type")</f>
        <v>R-transaction type</v>
      </c>
      <c r="E271" s="53" t="str">
        <f ca="1">HYPERLINK("#" &amp; CELL("address", 'V1.40'!$I$13), "Reversal")</f>
        <v>Reversal</v>
      </c>
      <c r="F271" s="49" t="str">
        <f>'V1.40'!$J$13</f>
        <v>DREV</v>
      </c>
      <c r="G271" s="53" t="str">
        <f ca="1">HYPERLINK("#" &amp; CELL("address", Concepts!$A$84), "Click here for definition")</f>
        <v>Click here for definition</v>
      </c>
    </row>
    <row r="272" spans="1:7" x14ac:dyDescent="0.2">
      <c r="A272">
        <v>271</v>
      </c>
      <c r="B272" t="s">
        <v>1457</v>
      </c>
      <c r="C272" s="53" t="str">
        <f ca="1">HYPERLINK("#" &amp; CELL("address", 'V1.40'!$A$2), "V1.40")</f>
        <v>V1.40</v>
      </c>
      <c r="D272" s="53" t="str">
        <f ca="1">HYPERLINK("#" &amp; CELL("address", 'V1.40'!$I$3), "R-transaction type")</f>
        <v>R-transaction type</v>
      </c>
      <c r="E272" s="53" t="str">
        <f ca="1">HYPERLINK("#" &amp; CELL("address", 'V1.40'!$I$14), "Refund")</f>
        <v>Refund</v>
      </c>
      <c r="F272" s="49" t="str">
        <f>'V1.40'!$J$14</f>
        <v>DREF</v>
      </c>
      <c r="G272" s="53" t="str">
        <f ca="1">HYPERLINK("#" &amp; CELL("address", Concepts!$A$85), "Click here for definition")</f>
        <v>Click here for definition</v>
      </c>
    </row>
    <row r="273" spans="1:7" x14ac:dyDescent="0.2">
      <c r="A273">
        <v>272</v>
      </c>
      <c r="B273" t="s">
        <v>1457</v>
      </c>
      <c r="C273" s="53" t="str">
        <f ca="1">HYPERLINK("#" &amp; CELL("address", 'V1.40'!$A$2), "V1.40")</f>
        <v>V1.40</v>
      </c>
      <c r="D273" s="53" t="str">
        <f ca="1">HYPERLINK("#" &amp; CELL("address", 'V1.40'!$I$3), "R-transaction type")</f>
        <v>R-transaction type</v>
      </c>
      <c r="E273" s="53" t="str">
        <f ca="1">HYPERLINK("#" &amp; CELL("address", 'V1.40'!$I$15), "Request for cancellation")</f>
        <v>Request for cancellation</v>
      </c>
      <c r="F273" s="49" t="str">
        <f>'V1.40'!$J$15</f>
        <v>DREQ</v>
      </c>
      <c r="G273" s="53" t="str">
        <f ca="1">HYPERLINK("#" &amp; CELL("address", Concepts!$A$86), "Click here for definition")</f>
        <v>Click here for definition</v>
      </c>
    </row>
    <row r="274" spans="1:7" x14ac:dyDescent="0.2">
      <c r="A274">
        <v>273</v>
      </c>
      <c r="B274" t="s">
        <v>1457</v>
      </c>
      <c r="C274" s="53" t="str">
        <f ca="1">HYPERLINK("#" &amp; CELL("address", 'V1.40'!$A$2), "V1.40")</f>
        <v>V1.40</v>
      </c>
      <c r="D274" s="53" t="str">
        <f ca="1">HYPERLINK("#" &amp; CELL("address", 'V1.40'!$K$3), "Country of debtor's PSP")</f>
        <v>Country of debtor's PSP</v>
      </c>
      <c r="E274" s="53" t="str">
        <f ca="1">HYPERLINK("#" &amp; CELL("address", 'V1.40'!$K$5), "Luxembourg")</f>
        <v>Luxembourg</v>
      </c>
      <c r="F274" s="49" t="str">
        <f>'V1.40'!$L$5</f>
        <v>LU</v>
      </c>
      <c r="G274" s="53"/>
    </row>
    <row r="275" spans="1:7" x14ac:dyDescent="0.2">
      <c r="A275">
        <v>274</v>
      </c>
      <c r="B275" t="s">
        <v>1457</v>
      </c>
      <c r="C275" s="53" t="str">
        <f ca="1">HYPERLINK("#" &amp; CELL("address", 'V1.40'!$A$2), "V1.40")</f>
        <v>V1.40</v>
      </c>
      <c r="D275" s="53" t="str">
        <f ca="1">HYPERLINK("#" &amp; CELL("address", 'V1.40'!$K$3), "Country of debtor's PSP")</f>
        <v>Country of debtor's PSP</v>
      </c>
      <c r="E275" s="53" t="str">
        <f ca="1">HYPERLINK("#" &amp; CELL("address", 'V1.40'!$K$7), "2-letter ISO 3166 country code")</f>
        <v>2-letter ISO 3166 country code</v>
      </c>
      <c r="F275" s="49" t="str">
        <f>'V1.40'!$L$7</f>
        <v>[Geo]</v>
      </c>
      <c r="G275" s="53" t="str">
        <f ca="1">HYPERLINK("#" &amp; CELL("address", Concepts!$A$145), "Click here for definition")</f>
        <v>Click here for definition</v>
      </c>
    </row>
    <row r="276" spans="1:7" x14ac:dyDescent="0.2">
      <c r="A276">
        <v>275</v>
      </c>
      <c r="B276" t="s">
        <v>1457</v>
      </c>
      <c r="C276" s="53" t="str">
        <f ca="1">HYPERLINK("#" &amp; CELL("address", 'V1.40'!$A$2), "V1.40")</f>
        <v>V1.40</v>
      </c>
      <c r="D276" s="53" t="str">
        <f ca="1">HYPERLINK("#" &amp; CELL("address", 'V1.40'!$M$3), "Country of creditor's PSP")</f>
        <v>Country of creditor's PSP</v>
      </c>
      <c r="E276" s="53" t="str">
        <f ca="1">HYPERLINK("#" &amp; CELL("address", 'V1.40'!$M$5), "2-letter ISO 3166 country code")</f>
        <v>2-letter ISO 3166 country code</v>
      </c>
      <c r="F276" s="49" t="str">
        <f>'V1.40'!$N$5</f>
        <v>[Geo]</v>
      </c>
      <c r="G276" s="53" t="str">
        <f ca="1">HYPERLINK("#" &amp; CELL("address", Concepts!$A$145), "Click here for definition")</f>
        <v>Click here for definition</v>
      </c>
    </row>
    <row r="277" spans="1:7" x14ac:dyDescent="0.2">
      <c r="A277">
        <v>276</v>
      </c>
      <c r="B277" t="s">
        <v>1457</v>
      </c>
      <c r="C277" s="53" t="str">
        <f ca="1">HYPERLINK("#" &amp; CELL("address", 'V1.40'!$A$2), "V1.40")</f>
        <v>V1.40</v>
      </c>
      <c r="D277" s="53" t="str">
        <f ca="1">HYPERLINK("#" &amp; CELL("address", 'V1.40'!$M$3), "Country of creditor's PSP")</f>
        <v>Country of creditor's PSP</v>
      </c>
      <c r="E277" s="53" t="str">
        <f ca="1">HYPERLINK("#" &amp; CELL("address", 'V1.40'!$M$7), "Luxembourg")</f>
        <v>Luxembourg</v>
      </c>
      <c r="F277" s="49" t="str">
        <f>'V1.40'!$N$7</f>
        <v>LU</v>
      </c>
      <c r="G277" s="53"/>
    </row>
    <row r="278" spans="1:7" x14ac:dyDescent="0.2">
      <c r="A278">
        <v>277</v>
      </c>
      <c r="B278" t="s">
        <v>1457</v>
      </c>
      <c r="C278" s="53" t="str">
        <f ca="1">HYPERLINK("#" &amp; CELL("address", 'V1.40'!$A$2), "V1.40")</f>
        <v>V1.40</v>
      </c>
      <c r="D278" s="53" t="str">
        <f ca="1">HYPERLINK("#" &amp; CELL("address", 'V1.40'!$O$3), "Currency")</f>
        <v>Currency</v>
      </c>
      <c r="E278" s="53" t="str">
        <f ca="1">HYPERLINK("#" &amp; CELL("address", 'V1.40'!$O$4), "3-letter ISO 4217 currency code")</f>
        <v>3-letter ISO 4217 currency code</v>
      </c>
      <c r="F278" s="49" t="str">
        <f>'V1.40'!$P$4</f>
        <v>[Currency]</v>
      </c>
      <c r="G278" s="53" t="str">
        <f ca="1">HYPERLINK("#" &amp; CELL("address", Concepts!$A$146), "Click here for definition")</f>
        <v>Click here for definition</v>
      </c>
    </row>
    <row r="279" spans="1:7" x14ac:dyDescent="0.2">
      <c r="A279">
        <v>278</v>
      </c>
      <c r="B279" t="s">
        <v>1457</v>
      </c>
      <c r="C279" s="53" t="str">
        <f ca="1">HYPERLINK("#" &amp; CELL("address", 'V1.40'!$A$2), "V1.40")</f>
        <v>V1.40</v>
      </c>
      <c r="D279" s="53" t="str">
        <f ca="1">HYPERLINK("#" &amp; CELL("address", 'V1.40'!$Q$3), "Metric")</f>
        <v>Metric</v>
      </c>
      <c r="E279" s="53" t="str">
        <f ca="1">HYPERLINK("#" &amp; CELL("address", 'V1.40'!$Q$4), "Number of transactions")</f>
        <v>Number of transactions</v>
      </c>
      <c r="F279" s="49" t="str">
        <f>'V1.40'!$R$4</f>
        <v>VOLU</v>
      </c>
      <c r="G279" s="53" t="str">
        <f ca="1">HYPERLINK("#" &amp; CELL("address", Concepts!$A$147), "Click here for definition")</f>
        <v>Click here for definition</v>
      </c>
    </row>
    <row r="280" spans="1:7" x14ac:dyDescent="0.2">
      <c r="A280">
        <v>279</v>
      </c>
      <c r="B280" t="s">
        <v>1457</v>
      </c>
      <c r="C280" s="53" t="str">
        <f ca="1">HYPERLINK("#" &amp; CELL("address", 'V1.40'!$A$2), "V1.40")</f>
        <v>V1.40</v>
      </c>
      <c r="D280" s="53" t="str">
        <f ca="1">HYPERLINK("#" &amp; CELL("address", 'V1.40'!$Q$3), "Metric")</f>
        <v>Metric</v>
      </c>
      <c r="E280" s="53" t="str">
        <f ca="1">HYPERLINK("#" &amp; CELL("address", 'V1.40'!$Q$5), "Value of transactions")</f>
        <v>Value of transactions</v>
      </c>
      <c r="F280" s="49" t="str">
        <f>'V1.40'!$R$5</f>
        <v>VALE</v>
      </c>
      <c r="G280" s="53" t="str">
        <f ca="1">HYPERLINK("#" &amp; CELL("address", Concepts!$A$148), "Click here for definition")</f>
        <v>Click here for definition</v>
      </c>
    </row>
    <row r="281" spans="1:7" x14ac:dyDescent="0.2">
      <c r="A281">
        <v>280</v>
      </c>
      <c r="B281" t="s">
        <v>1458</v>
      </c>
      <c r="C281" s="53" t="str">
        <f ca="1">HYPERLINK("#" &amp; CELL("address", 'V1.41'!$A$2), "V1.41")</f>
        <v>V1.41</v>
      </c>
      <c r="D281" s="53" t="str">
        <f ca="1">HYPERLINK("#" &amp; CELL("address", 'V1.41'!$A$3), "Payment instrument type")</f>
        <v>Payment instrument type</v>
      </c>
      <c r="E281" s="53" t="str">
        <f ca="1">HYPERLINK("#" &amp; CELL("address", 'V1.41'!$A$4), "Credit transfer")</f>
        <v>Credit transfer</v>
      </c>
      <c r="F281" s="49" t="str">
        <f>'V1.41'!$B$4</f>
        <v>CRTR</v>
      </c>
      <c r="G281" s="53" t="str">
        <f ca="1">HYPERLINK("#" &amp; CELL("address", Concepts!$A$74), "Click here for definition")</f>
        <v>Click here for definition</v>
      </c>
    </row>
    <row r="282" spans="1:7" x14ac:dyDescent="0.2">
      <c r="A282">
        <v>281</v>
      </c>
      <c r="B282" t="s">
        <v>1458</v>
      </c>
      <c r="C282" s="53" t="str">
        <f ca="1">HYPERLINK("#" &amp; CELL("address", 'V1.41'!$A$2), "V1.41")</f>
        <v>V1.41</v>
      </c>
      <c r="D282" s="53" t="str">
        <f ca="1">HYPERLINK("#" &amp; CELL("address", 'V1.41'!$A$3), "Payment instrument type")</f>
        <v>Payment instrument type</v>
      </c>
      <c r="E282" s="53" t="str">
        <f ca="1">HYPERLINK("#" &amp; CELL("address", 'V1.41'!$A$5), "Direct debit")</f>
        <v>Direct debit</v>
      </c>
      <c r="F282" s="49" t="str">
        <f>'V1.41'!$B$5</f>
        <v>DIDE</v>
      </c>
      <c r="G282" s="53" t="str">
        <f ca="1">HYPERLINK("#" &amp; CELL("address", Concepts!$A$75), "Click here for definition")</f>
        <v>Click here for definition</v>
      </c>
    </row>
    <row r="283" spans="1:7" x14ac:dyDescent="0.2">
      <c r="A283">
        <v>282</v>
      </c>
      <c r="B283" t="s">
        <v>1458</v>
      </c>
      <c r="C283" s="53" t="str">
        <f ca="1">HYPERLINK("#" &amp; CELL("address", 'V1.41'!$A$2), "V1.41")</f>
        <v>V1.41</v>
      </c>
      <c r="D283" s="53" t="str">
        <f ca="1">HYPERLINK("#" &amp; CELL("address", 'V1.41'!$C$3), "Role of reporting PSP")</f>
        <v>Role of reporting PSP</v>
      </c>
      <c r="E283" s="53" t="str">
        <f ca="1">HYPERLINK("#" &amp; CELL("address", 'V1.41'!$C$4), "Debtor's PSP")</f>
        <v>Debtor's PSP</v>
      </c>
      <c r="F283" s="49" t="str">
        <f>'V1.41'!$D$4</f>
        <v>DPSP</v>
      </c>
      <c r="G283" s="53" t="str">
        <f ca="1">HYPERLINK("#" &amp; CELL("address", Concepts!$A$76), "Click here for definition")</f>
        <v>Click here for definition</v>
      </c>
    </row>
    <row r="284" spans="1:7" x14ac:dyDescent="0.2">
      <c r="A284">
        <v>283</v>
      </c>
      <c r="B284" t="s">
        <v>1458</v>
      </c>
      <c r="C284" s="53" t="str">
        <f ca="1">HYPERLINK("#" &amp; CELL("address", 'V1.41'!$A$2), "V1.41")</f>
        <v>V1.41</v>
      </c>
      <c r="D284" s="53" t="str">
        <f ca="1">HYPERLINK("#" &amp; CELL("address", 'V1.41'!$C$3), "Role of reporting PSP")</f>
        <v>Role of reporting PSP</v>
      </c>
      <c r="E284" s="53" t="str">
        <f ca="1">HYPERLINK("#" &amp; CELL("address", 'V1.41'!$C$5), "Creditor's PSP")</f>
        <v>Creditor's PSP</v>
      </c>
      <c r="F284" s="49" t="str">
        <f>'V1.41'!$D$5</f>
        <v>CPSP</v>
      </c>
      <c r="G284" s="53" t="str">
        <f ca="1">HYPERLINK("#" &amp; CELL("address", Concepts!$A$77), "Click here for definition")</f>
        <v>Click here for definition</v>
      </c>
    </row>
    <row r="285" spans="1:7" x14ac:dyDescent="0.2">
      <c r="A285">
        <v>284</v>
      </c>
      <c r="B285" t="s">
        <v>1458</v>
      </c>
      <c r="C285" s="53" t="str">
        <f ca="1">HYPERLINK("#" &amp; CELL("address", 'V1.41'!$A$2), "V1.41")</f>
        <v>V1.41</v>
      </c>
      <c r="D285" s="53" t="str">
        <f ca="1">HYPERLINK("#" &amp; CELL("address", 'V1.41'!$E$3), "Settlement channel")</f>
        <v>Settlement channel</v>
      </c>
      <c r="E285" s="53" t="str">
        <f ca="1">HYPERLINK("#" &amp; CELL("address", 'V1.41'!$E$5), "T2 RTGS")</f>
        <v>T2 RTGS</v>
      </c>
      <c r="F285" s="49" t="str">
        <f>'V1.41'!$F$5</f>
        <v>TAR2</v>
      </c>
      <c r="G285" s="53"/>
    </row>
    <row r="286" spans="1:7" x14ac:dyDescent="0.2">
      <c r="A286">
        <v>285</v>
      </c>
      <c r="B286" t="s">
        <v>1458</v>
      </c>
      <c r="C286" s="53" t="str">
        <f ca="1">HYPERLINK("#" &amp; CELL("address", 'V1.41'!$A$2), "V1.41")</f>
        <v>V1.41</v>
      </c>
      <c r="D286" s="53" t="str">
        <f ca="1">HYPERLINK("#" &amp; CELL("address", 'V1.41'!$E$3), "Settlement channel")</f>
        <v>Settlement channel</v>
      </c>
      <c r="E286" s="53" t="str">
        <f ca="1">HYPERLINK("#" &amp; CELL("address", 'V1.41'!$E$6), "Euro1")</f>
        <v>Euro1</v>
      </c>
      <c r="F286" s="49" t="str">
        <f>'V1.41'!$F$6</f>
        <v>EUR1</v>
      </c>
      <c r="G286" s="53"/>
    </row>
    <row r="287" spans="1:7" x14ac:dyDescent="0.2">
      <c r="A287">
        <v>286</v>
      </c>
      <c r="B287" t="s">
        <v>1458</v>
      </c>
      <c r="C287" s="53" t="str">
        <f ca="1">HYPERLINK("#" &amp; CELL("address", 'V1.41'!$A$2), "V1.41")</f>
        <v>V1.41</v>
      </c>
      <c r="D287" s="53" t="str">
        <f ca="1">HYPERLINK("#" &amp; CELL("address", 'V1.41'!$E$3), "Settlement channel")</f>
        <v>Settlement channel</v>
      </c>
      <c r="E287" s="53" t="str">
        <f ca="1">HYPERLINK("#" &amp; CELL("address", 'V1.41'!$E$7), "Step1")</f>
        <v>Step1</v>
      </c>
      <c r="F287" s="49" t="str">
        <f>'V1.41'!$F$7</f>
        <v>STE1</v>
      </c>
      <c r="G287" s="53"/>
    </row>
    <row r="288" spans="1:7" x14ac:dyDescent="0.2">
      <c r="A288">
        <v>287</v>
      </c>
      <c r="B288" t="s">
        <v>1458</v>
      </c>
      <c r="C288" s="53" t="str">
        <f ca="1">HYPERLINK("#" &amp; CELL("address", 'V1.41'!$A$2), "V1.41")</f>
        <v>V1.41</v>
      </c>
      <c r="D288" s="53" t="str">
        <f ca="1">HYPERLINK("#" &amp; CELL("address", 'V1.41'!$E$3), "Settlement channel")</f>
        <v>Settlement channel</v>
      </c>
      <c r="E288" s="53" t="str">
        <f ca="1">HYPERLINK("#" &amp; CELL("address", 'V1.41'!$E$8), "Step2")</f>
        <v>Step2</v>
      </c>
      <c r="F288" s="49" t="str">
        <f>'V1.41'!$F$8</f>
        <v>STE2</v>
      </c>
      <c r="G288" s="53"/>
    </row>
    <row r="289" spans="1:7" x14ac:dyDescent="0.2">
      <c r="A289">
        <v>288</v>
      </c>
      <c r="B289" t="s">
        <v>1458</v>
      </c>
      <c r="C289" s="53" t="str">
        <f ca="1">HYPERLINK("#" &amp; CELL("address", 'V1.41'!$A$2), "V1.41")</f>
        <v>V1.41</v>
      </c>
      <c r="D289" s="53" t="str">
        <f ca="1">HYPERLINK("#" &amp; CELL("address", 'V1.41'!$E$3), "Settlement channel")</f>
        <v>Settlement channel</v>
      </c>
      <c r="E289" s="53" t="str">
        <f ca="1">HYPERLINK("#" &amp; CELL("address", 'V1.41'!$E$9), "Equens")</f>
        <v>Equens</v>
      </c>
      <c r="F289" s="49" t="str">
        <f>'V1.41'!$F$9</f>
        <v>EQUE</v>
      </c>
      <c r="G289" s="53"/>
    </row>
    <row r="290" spans="1:7" x14ac:dyDescent="0.2">
      <c r="A290">
        <v>289</v>
      </c>
      <c r="B290" t="s">
        <v>1458</v>
      </c>
      <c r="C290" s="53" t="str">
        <f ca="1">HYPERLINK("#" &amp; CELL("address", 'V1.41'!$A$2), "V1.41")</f>
        <v>V1.41</v>
      </c>
      <c r="D290" s="53" t="str">
        <f ca="1">HYPERLINK("#" &amp; CELL("address", 'V1.41'!$E$3), "Settlement channel")</f>
        <v>Settlement channel</v>
      </c>
      <c r="E290" s="53" t="str">
        <f ca="1">HYPERLINK("#" &amp; CELL("address", 'V1.41'!$E$11), "TIPS")</f>
        <v>TIPS</v>
      </c>
      <c r="F290" s="49" t="str">
        <f>'V1.41'!$F$11</f>
        <v>TIPS</v>
      </c>
      <c r="G290" s="53"/>
    </row>
    <row r="291" spans="1:7" x14ac:dyDescent="0.2">
      <c r="A291">
        <v>290</v>
      </c>
      <c r="B291" t="s">
        <v>1458</v>
      </c>
      <c r="C291" s="53" t="str">
        <f ca="1">HYPERLINK("#" &amp; CELL("address", 'V1.41'!$A$2), "V1.41")</f>
        <v>V1.41</v>
      </c>
      <c r="D291" s="53" t="str">
        <f ca="1">HYPERLINK("#" &amp; CELL("address", 'V1.41'!$E$3), "Settlement channel")</f>
        <v>Settlement channel</v>
      </c>
      <c r="E291" s="53" t="str">
        <f ca="1">HYPERLINK("#" &amp; CELL("address", 'V1.41'!$E$12), "RT1")</f>
        <v>RT1</v>
      </c>
      <c r="F291" s="49" t="str">
        <f>'V1.41'!$F$12</f>
        <v>ERT1</v>
      </c>
      <c r="G291" s="53"/>
    </row>
    <row r="292" spans="1:7" x14ac:dyDescent="0.2">
      <c r="A292">
        <v>291</v>
      </c>
      <c r="B292" t="s">
        <v>1458</v>
      </c>
      <c r="C292" s="53" t="str">
        <f ca="1">HYPERLINK("#" &amp; CELL("address", 'V1.41'!$A$2), "V1.41")</f>
        <v>V1.41</v>
      </c>
      <c r="D292" s="53" t="str">
        <f ca="1">HYPERLINK("#" &amp; CELL("address", 'V1.41'!$E$3), "Settlement channel")</f>
        <v>Settlement channel</v>
      </c>
      <c r="E292" s="53" t="str">
        <f ca="1">HYPERLINK("#" &amp; CELL("address", 'V1.41'!$E$13), "Other instant")</f>
        <v>Other instant</v>
      </c>
      <c r="F292" s="49" t="str">
        <f>'V1.41'!$F$13</f>
        <v>OTHI</v>
      </c>
      <c r="G292" s="53" t="str">
        <f ca="1">HYPERLINK("#" &amp; CELL("address", Concepts!$A$19), "Click here for definition")</f>
        <v>Click here for definition</v>
      </c>
    </row>
    <row r="293" spans="1:7" x14ac:dyDescent="0.2">
      <c r="A293">
        <v>292</v>
      </c>
      <c r="B293" t="s">
        <v>1458</v>
      </c>
      <c r="C293" s="53" t="str">
        <f ca="1">HYPERLINK("#" &amp; CELL("address", 'V1.41'!$A$2), "V1.41")</f>
        <v>V1.41</v>
      </c>
      <c r="D293" s="53" t="str">
        <f ca="1">HYPERLINK("#" &amp; CELL("address", 'V1.41'!$E$3), "Settlement channel")</f>
        <v>Settlement channel</v>
      </c>
      <c r="E293" s="53" t="str">
        <f ca="1">HYPERLINK("#" &amp; CELL("address", 'V1.41'!$E$14), "On-us")</f>
        <v>On-us</v>
      </c>
      <c r="F293" s="49" t="str">
        <f>'V1.41'!$F$14</f>
        <v>ONUS</v>
      </c>
      <c r="G293" s="53" t="str">
        <f ca="1">HYPERLINK("#" &amp; CELL("address", Concepts!$A$20), "Click here for definition")</f>
        <v>Click here for definition</v>
      </c>
    </row>
    <row r="294" spans="1:7" x14ac:dyDescent="0.2">
      <c r="A294">
        <v>293</v>
      </c>
      <c r="B294" t="s">
        <v>1458</v>
      </c>
      <c r="C294" s="53" t="str">
        <f ca="1">HYPERLINK("#" &amp; CELL("address", 'V1.41'!$A$2), "V1.41")</f>
        <v>V1.41</v>
      </c>
      <c r="D294" s="53" t="str">
        <f ca="1">HYPERLINK("#" &amp; CELL("address", 'V1.41'!$E$3), "Settlement channel")</f>
        <v>Settlement channel</v>
      </c>
      <c r="E294" s="53" t="str">
        <f ca="1">HYPERLINK("#" &amp; CELL("address", 'V1.41'!$E$15), "PSP LU")</f>
        <v>PSP LU</v>
      </c>
      <c r="F294" s="49" t="str">
        <f>'V1.41'!$F$15</f>
        <v>PSPL</v>
      </c>
      <c r="G294" s="53" t="str">
        <f ca="1">HYPERLINK("#" &amp; CELL("address", Concepts!$A$23), "Click here for definition")</f>
        <v>Click here for definition</v>
      </c>
    </row>
    <row r="295" spans="1:7" x14ac:dyDescent="0.2">
      <c r="A295">
        <v>294</v>
      </c>
      <c r="B295" t="s">
        <v>1458</v>
      </c>
      <c r="C295" s="53" t="str">
        <f ca="1">HYPERLINK("#" &amp; CELL("address", 'V1.41'!$A$2), "V1.41")</f>
        <v>V1.41</v>
      </c>
      <c r="D295" s="53" t="str">
        <f ca="1">HYPERLINK("#" &amp; CELL("address", 'V1.41'!$E$3), "Settlement channel")</f>
        <v>Settlement channel</v>
      </c>
      <c r="E295" s="53" t="str">
        <f ca="1">HYPERLINK("#" &amp; CELL("address", 'V1.41'!$E$16), "PSP non-LU")</f>
        <v>PSP non-LU</v>
      </c>
      <c r="F295" s="49" t="str">
        <f>'V1.41'!$F$16</f>
        <v>PSPN</v>
      </c>
      <c r="G295" s="53" t="str">
        <f ca="1">HYPERLINK("#" &amp; CELL("address", Concepts!$A$24), "Click here for definition")</f>
        <v>Click here for definition</v>
      </c>
    </row>
    <row r="296" spans="1:7" x14ac:dyDescent="0.2">
      <c r="A296">
        <v>295</v>
      </c>
      <c r="B296" t="s">
        <v>1458</v>
      </c>
      <c r="C296" s="53" t="str">
        <f ca="1">HYPERLINK("#" &amp; CELL("address", 'V1.41'!$A$2), "V1.41")</f>
        <v>V1.41</v>
      </c>
      <c r="D296" s="53" t="str">
        <f ca="1">HYPERLINK("#" &amp; CELL("address", 'V1.41'!$E$3), "Settlement channel")</f>
        <v>Settlement channel</v>
      </c>
      <c r="E296" s="53" t="str">
        <f ca="1">HYPERLINK("#" &amp; CELL("address", 'V1.41'!$E$17), "Other")</f>
        <v>Other</v>
      </c>
      <c r="F296" s="49" t="str">
        <f>'V1.41'!$F$17</f>
        <v>OTHR</v>
      </c>
      <c r="G296" s="53" t="str">
        <f ca="1">HYPERLINK("#" &amp; CELL("address", Concepts!$A$25), "Click here for definition")</f>
        <v>Click here for definition</v>
      </c>
    </row>
    <row r="297" spans="1:7" x14ac:dyDescent="0.2">
      <c r="A297">
        <v>296</v>
      </c>
      <c r="B297" t="s">
        <v>1458</v>
      </c>
      <c r="C297" s="53" t="str">
        <f ca="1">HYPERLINK("#" &amp; CELL("address", 'V1.41'!$A$2), "V1.41")</f>
        <v>V1.41</v>
      </c>
      <c r="D297" s="53" t="str">
        <f ca="1">HYPERLINK("#" &amp; CELL("address", 'V1.41'!$G$3), "Country of debtor's PSP")</f>
        <v>Country of debtor's PSP</v>
      </c>
      <c r="E297" s="53" t="str">
        <f ca="1">HYPERLINK("#" &amp; CELL("address", 'V1.41'!$G$4), "2-letter ISO 3166 country code")</f>
        <v>2-letter ISO 3166 country code</v>
      </c>
      <c r="F297" s="49" t="str">
        <f>'V1.41'!$H$4</f>
        <v>[Geo]</v>
      </c>
      <c r="G297" s="53" t="str">
        <f ca="1">HYPERLINK("#" &amp; CELL("address", Concepts!$A$145), "Click here for definition")</f>
        <v>Click here for definition</v>
      </c>
    </row>
    <row r="298" spans="1:7" x14ac:dyDescent="0.2">
      <c r="A298">
        <v>297</v>
      </c>
      <c r="B298" t="s">
        <v>1458</v>
      </c>
      <c r="C298" s="53" t="str">
        <f ca="1">HYPERLINK("#" &amp; CELL("address", 'V1.41'!$A$2), "V1.41")</f>
        <v>V1.41</v>
      </c>
      <c r="D298" s="53" t="str">
        <f ca="1">HYPERLINK("#" &amp; CELL("address", 'V1.41'!$I$3), "Country of creditor's PSP")</f>
        <v>Country of creditor's PSP</v>
      </c>
      <c r="E298" s="53" t="str">
        <f ca="1">HYPERLINK("#" &amp; CELL("address", 'V1.41'!$I$4), "2-letter ISO 3166 country code")</f>
        <v>2-letter ISO 3166 country code</v>
      </c>
      <c r="F298" s="49" t="str">
        <f>'V1.41'!$J$4</f>
        <v>[Geo]</v>
      </c>
      <c r="G298" s="53" t="str">
        <f ca="1">HYPERLINK("#" &amp; CELL("address", Concepts!$A$145), "Click here for definition")</f>
        <v>Click here for definition</v>
      </c>
    </row>
    <row r="299" spans="1:7" x14ac:dyDescent="0.2">
      <c r="A299">
        <v>298</v>
      </c>
      <c r="B299" t="s">
        <v>1458</v>
      </c>
      <c r="C299" s="53" t="str">
        <f ca="1">HYPERLINK("#" &amp; CELL("address", 'V1.41'!$A$2), "V1.41")</f>
        <v>V1.41</v>
      </c>
      <c r="D299" s="53" t="str">
        <f ca="1">HYPERLINK("#" &amp; CELL("address", 'V1.41'!$K$3), "Currency")</f>
        <v>Currency</v>
      </c>
      <c r="E299" s="53" t="str">
        <f ca="1">HYPERLINK("#" &amp; CELL("address", 'V1.41'!$K$4), "3-letter ISO 4217 currency code")</f>
        <v>3-letter ISO 4217 currency code</v>
      </c>
      <c r="F299" s="49" t="str">
        <f>'V1.41'!$L$4</f>
        <v>[Currency]</v>
      </c>
      <c r="G299" s="53" t="str">
        <f ca="1">HYPERLINK("#" &amp; CELL("address", Concepts!$A$146), "Click here for definition")</f>
        <v>Click here for definition</v>
      </c>
    </row>
    <row r="300" spans="1:7" x14ac:dyDescent="0.2">
      <c r="A300">
        <v>299</v>
      </c>
      <c r="B300" t="s">
        <v>1458</v>
      </c>
      <c r="C300" s="53" t="str">
        <f ca="1">HYPERLINK("#" &amp; CELL("address", 'V1.41'!$A$2), "V1.41")</f>
        <v>V1.41</v>
      </c>
      <c r="D300" s="53" t="str">
        <f ca="1">HYPERLINK("#" &amp; CELL("address", 'V1.41'!$M$3), "Metric")</f>
        <v>Metric</v>
      </c>
      <c r="E300" s="53" t="str">
        <f ca="1">HYPERLINK("#" &amp; CELL("address", 'V1.41'!$M$4), "Number of transactions")</f>
        <v>Number of transactions</v>
      </c>
      <c r="F300" s="49" t="str">
        <f>'V1.41'!$N$4</f>
        <v>VOLU</v>
      </c>
      <c r="G300" s="53" t="str">
        <f ca="1">HYPERLINK("#" &amp; CELL("address", Concepts!$A$147), "Click here for definition")</f>
        <v>Click here for definition</v>
      </c>
    </row>
    <row r="301" spans="1:7" x14ac:dyDescent="0.2">
      <c r="A301">
        <v>300</v>
      </c>
      <c r="B301" t="s">
        <v>1458</v>
      </c>
      <c r="C301" s="53" t="str">
        <f ca="1">HYPERLINK("#" &amp; CELL("address", 'V1.41'!$A$2), "V1.41")</f>
        <v>V1.41</v>
      </c>
      <c r="D301" s="53" t="str">
        <f ca="1">HYPERLINK("#" &amp; CELL("address", 'V1.41'!$M$3), "Metric")</f>
        <v>Metric</v>
      </c>
      <c r="E301" s="53" t="str">
        <f ca="1">HYPERLINK("#" &amp; CELL("address", 'V1.41'!$M$5), "Value of transactions")</f>
        <v>Value of transactions</v>
      </c>
      <c r="F301" s="49" t="str">
        <f>'V1.41'!$N$5</f>
        <v>VALE</v>
      </c>
      <c r="G301" s="53" t="str">
        <f ca="1">HYPERLINK("#" &amp; CELL("address", Concepts!$A$148), "Click here for definition")</f>
        <v>Click here for definition</v>
      </c>
    </row>
    <row r="302" spans="1:7" x14ac:dyDescent="0.2">
      <c r="A302">
        <v>301</v>
      </c>
      <c r="B302" t="s">
        <v>1459</v>
      </c>
      <c r="C302" s="53" t="str">
        <f ca="1">HYPERLINK("#" &amp; CELL("address", 'V1.42'!$A$2), "V1.42")</f>
        <v>V1.42</v>
      </c>
      <c r="D302" s="53" t="str">
        <f ca="1">HYPERLINK("#" &amp; CELL("address", 'V1.42'!$A$3), "Payment instrument type")</f>
        <v>Payment instrument type</v>
      </c>
      <c r="E302" s="53" t="str">
        <f ca="1">HYPERLINK("#" &amp; CELL("address", 'V1.42'!$A$4), "Customer credit transfer")</f>
        <v>Customer credit transfer</v>
      </c>
      <c r="F302" s="49" t="str">
        <f>'V1.42'!$B$4</f>
        <v>CUCT</v>
      </c>
      <c r="G302" s="53" t="str">
        <f ca="1">HYPERLINK("#" &amp; CELL("address", Concepts!$A$89), "Click here for definition")</f>
        <v>Click here for definition</v>
      </c>
    </row>
    <row r="303" spans="1:7" x14ac:dyDescent="0.2">
      <c r="A303">
        <v>302</v>
      </c>
      <c r="B303" t="s">
        <v>1459</v>
      </c>
      <c r="C303" s="53" t="str">
        <f ca="1">HYPERLINK("#" &amp; CELL("address", 'V1.42'!$A$2), "V1.42")</f>
        <v>V1.42</v>
      </c>
      <c r="D303" s="53" t="str">
        <f ca="1">HYPERLINK("#" &amp; CELL("address", 'V1.42'!$A$3), "Payment instrument type")</f>
        <v>Payment instrument type</v>
      </c>
      <c r="E303" s="53" t="str">
        <f ca="1">HYPERLINK("#" &amp; CELL("address", 'V1.42'!$A$5), "Interbank credit transfer")</f>
        <v>Interbank credit transfer</v>
      </c>
      <c r="F303" s="49" t="str">
        <f>'V1.42'!$B$5</f>
        <v>IBCT</v>
      </c>
      <c r="G303" s="53" t="str">
        <f ca="1">HYPERLINK("#" &amp; CELL("address", Concepts!$A$90), "Click here for definition")</f>
        <v>Click here for definition</v>
      </c>
    </row>
    <row r="304" spans="1:7" x14ac:dyDescent="0.2">
      <c r="A304">
        <v>303</v>
      </c>
      <c r="B304" t="s">
        <v>1459</v>
      </c>
      <c r="C304" s="53" t="str">
        <f ca="1">HYPERLINK("#" &amp; CELL("address", 'V1.42'!$A$2), "V1.42")</f>
        <v>V1.42</v>
      </c>
      <c r="D304" s="53" t="str">
        <f ca="1">HYPERLINK("#" &amp; CELL("address", 'V1.42'!$A$3), "Payment instrument type")</f>
        <v>Payment instrument type</v>
      </c>
      <c r="E304" s="53" t="str">
        <f ca="1">HYPERLINK("#" &amp; CELL("address", 'V1.42'!$A$6), "Customer direct debit")</f>
        <v>Customer direct debit</v>
      </c>
      <c r="F304" s="49" t="str">
        <f>'V1.42'!$B$6</f>
        <v>CUDD</v>
      </c>
      <c r="G304" s="53" t="str">
        <f ca="1">HYPERLINK("#" &amp; CELL("address", Concepts!$A$91), "Click here for definition")</f>
        <v>Click here for definition</v>
      </c>
    </row>
    <row r="305" spans="1:7" x14ac:dyDescent="0.2">
      <c r="A305">
        <v>304</v>
      </c>
      <c r="B305" t="s">
        <v>1459</v>
      </c>
      <c r="C305" s="53" t="str">
        <f ca="1">HYPERLINK("#" &amp; CELL("address", 'V1.42'!$A$2), "V1.42")</f>
        <v>V1.42</v>
      </c>
      <c r="D305" s="53" t="str">
        <f ca="1">HYPERLINK("#" &amp; CELL("address", 'V1.42'!$A$3), "Payment instrument type")</f>
        <v>Payment instrument type</v>
      </c>
      <c r="E305" s="53" t="str">
        <f ca="1">HYPERLINK("#" &amp; CELL("address", 'V1.42'!$A$7), "Interbank direct debit")</f>
        <v>Interbank direct debit</v>
      </c>
      <c r="F305" s="49" t="str">
        <f>'V1.42'!$B$7</f>
        <v>IBDD</v>
      </c>
      <c r="G305" s="53" t="str">
        <f ca="1">HYPERLINK("#" &amp; CELL("address", Concepts!$A$92), "Click here for definition")</f>
        <v>Click here for definition</v>
      </c>
    </row>
    <row r="306" spans="1:7" x14ac:dyDescent="0.2">
      <c r="A306">
        <v>305</v>
      </c>
      <c r="B306" t="s">
        <v>1459</v>
      </c>
      <c r="C306" s="53" t="str">
        <f ca="1">HYPERLINK("#" &amp; CELL("address", 'V1.42'!$A$2), "V1.42")</f>
        <v>V1.42</v>
      </c>
      <c r="D306" s="53" t="str">
        <f ca="1">HYPERLINK("#" &amp; CELL("address", 'V1.42'!$C$3), "Customer type")</f>
        <v>Customer type</v>
      </c>
      <c r="E306" s="53" t="str">
        <f ca="1">HYPERLINK("#" &amp; CELL("address", 'V1.42'!$C$4), "PSP LU")</f>
        <v>PSP LU</v>
      </c>
      <c r="F306" s="49" t="str">
        <f>'V1.42'!$D$4</f>
        <v>PSPL</v>
      </c>
      <c r="G306" s="53" t="str">
        <f ca="1">HYPERLINK("#" &amp; CELL("address", Concepts!$A$93), "Click here for definition")</f>
        <v>Click here for definition</v>
      </c>
    </row>
    <row r="307" spans="1:7" x14ac:dyDescent="0.2">
      <c r="A307">
        <v>306</v>
      </c>
      <c r="B307" t="s">
        <v>1459</v>
      </c>
      <c r="C307" s="53" t="str">
        <f ca="1">HYPERLINK("#" &amp; CELL("address", 'V1.42'!$A$2), "V1.42")</f>
        <v>V1.42</v>
      </c>
      <c r="D307" s="53" t="str">
        <f ca="1">HYPERLINK("#" &amp; CELL("address", 'V1.42'!$C$3), "Customer type")</f>
        <v>Customer type</v>
      </c>
      <c r="E307" s="53" t="str">
        <f ca="1">HYPERLINK("#" &amp; CELL("address", 'V1.42'!$C$5), "PSP non-LU")</f>
        <v>PSP non-LU</v>
      </c>
      <c r="F307" s="49" t="str">
        <f>'V1.42'!$D$5</f>
        <v>PSPN</v>
      </c>
      <c r="G307" s="53" t="str">
        <f ca="1">HYPERLINK("#" &amp; CELL("address", Concepts!$A$94), "Click here for definition")</f>
        <v>Click here for definition</v>
      </c>
    </row>
    <row r="308" spans="1:7" x14ac:dyDescent="0.2">
      <c r="A308">
        <v>307</v>
      </c>
      <c r="B308" t="s">
        <v>1459</v>
      </c>
      <c r="C308" s="53" t="str">
        <f ca="1">HYPERLINK("#" &amp; CELL("address", 'V1.42'!$A$2), "V1.42")</f>
        <v>V1.42</v>
      </c>
      <c r="D308" s="53" t="str">
        <f ca="1">HYPERLINK("#" &amp; CELL("address", 'V1.42'!$E$3), "Role of reporting PSP")</f>
        <v>Role of reporting PSP</v>
      </c>
      <c r="E308" s="53" t="str">
        <f ca="1">HYPERLINK("#" &amp; CELL("address", 'V1.42'!$E$4), "Debtor's PSP")</f>
        <v>Debtor's PSP</v>
      </c>
      <c r="F308" s="49" t="str">
        <f>'V1.42'!$F$4</f>
        <v>DPSP</v>
      </c>
      <c r="G308" s="53" t="str">
        <f ca="1">HYPERLINK("#" &amp; CELL("address", Concepts!$A$76), "Click here for definition")</f>
        <v>Click here for definition</v>
      </c>
    </row>
    <row r="309" spans="1:7" x14ac:dyDescent="0.2">
      <c r="A309">
        <v>308</v>
      </c>
      <c r="B309" t="s">
        <v>1459</v>
      </c>
      <c r="C309" s="53" t="str">
        <f ca="1">HYPERLINK("#" &amp; CELL("address", 'V1.42'!$A$2), "V1.42")</f>
        <v>V1.42</v>
      </c>
      <c r="D309" s="53" t="str">
        <f ca="1">HYPERLINK("#" &amp; CELL("address", 'V1.42'!$E$3), "Role of reporting PSP")</f>
        <v>Role of reporting PSP</v>
      </c>
      <c r="E309" s="53" t="str">
        <f ca="1">HYPERLINK("#" &amp; CELL("address", 'V1.42'!$E$5), "Creditor's PSP")</f>
        <v>Creditor's PSP</v>
      </c>
      <c r="F309" s="49" t="str">
        <f>'V1.42'!$F$5</f>
        <v>CPSP</v>
      </c>
      <c r="G309" s="53" t="str">
        <f ca="1">HYPERLINK("#" &amp; CELL("address", Concepts!$A$77), "Click here for definition")</f>
        <v>Click here for definition</v>
      </c>
    </row>
    <row r="310" spans="1:7" x14ac:dyDescent="0.2">
      <c r="A310">
        <v>309</v>
      </c>
      <c r="B310" t="s">
        <v>1459</v>
      </c>
      <c r="C310" s="53" t="str">
        <f ca="1">HYPERLINK("#" &amp; CELL("address", 'V1.42'!$A$2), "V1.42")</f>
        <v>V1.42</v>
      </c>
      <c r="D310" s="53" t="str">
        <f ca="1">HYPERLINK("#" &amp; CELL("address", 'V1.42'!$G$3), "Settlement channel")</f>
        <v>Settlement channel</v>
      </c>
      <c r="E310" s="53" t="str">
        <f ca="1">HYPERLINK("#" &amp; CELL("address", 'V1.42'!$G$5), "T2 RTGS")</f>
        <v>T2 RTGS</v>
      </c>
      <c r="F310" s="49" t="str">
        <f>'V1.42'!$H$5</f>
        <v>TAR2</v>
      </c>
      <c r="G310" s="53"/>
    </row>
    <row r="311" spans="1:7" x14ac:dyDescent="0.2">
      <c r="A311">
        <v>310</v>
      </c>
      <c r="B311" t="s">
        <v>1459</v>
      </c>
      <c r="C311" s="53" t="str">
        <f ca="1">HYPERLINK("#" &amp; CELL("address", 'V1.42'!$A$2), "V1.42")</f>
        <v>V1.42</v>
      </c>
      <c r="D311" s="53" t="str">
        <f ca="1">HYPERLINK("#" &amp; CELL("address", 'V1.42'!$G$3), "Settlement channel")</f>
        <v>Settlement channel</v>
      </c>
      <c r="E311" s="53" t="str">
        <f ca="1">HYPERLINK("#" &amp; CELL("address", 'V1.42'!$G$6), "Euro1")</f>
        <v>Euro1</v>
      </c>
      <c r="F311" s="49" t="str">
        <f>'V1.42'!$H$6</f>
        <v>EUR1</v>
      </c>
      <c r="G311" s="53"/>
    </row>
    <row r="312" spans="1:7" x14ac:dyDescent="0.2">
      <c r="A312">
        <v>311</v>
      </c>
      <c r="B312" t="s">
        <v>1459</v>
      </c>
      <c r="C312" s="53" t="str">
        <f ca="1">HYPERLINK("#" &amp; CELL("address", 'V1.42'!$A$2), "V1.42")</f>
        <v>V1.42</v>
      </c>
      <c r="D312" s="53" t="str">
        <f ca="1">HYPERLINK("#" &amp; CELL("address", 'V1.42'!$G$3), "Settlement channel")</f>
        <v>Settlement channel</v>
      </c>
      <c r="E312" s="53" t="str">
        <f ca="1">HYPERLINK("#" &amp; CELL("address", 'V1.42'!$G$7), "Step1")</f>
        <v>Step1</v>
      </c>
      <c r="F312" s="49" t="str">
        <f>'V1.42'!$H$7</f>
        <v>STE1</v>
      </c>
      <c r="G312" s="53"/>
    </row>
    <row r="313" spans="1:7" x14ac:dyDescent="0.2">
      <c r="A313">
        <v>312</v>
      </c>
      <c r="B313" t="s">
        <v>1459</v>
      </c>
      <c r="C313" s="53" t="str">
        <f ca="1">HYPERLINK("#" &amp; CELL("address", 'V1.42'!$A$2), "V1.42")</f>
        <v>V1.42</v>
      </c>
      <c r="D313" s="53" t="str">
        <f ca="1">HYPERLINK("#" &amp; CELL("address", 'V1.42'!$G$3), "Settlement channel")</f>
        <v>Settlement channel</v>
      </c>
      <c r="E313" s="53" t="str">
        <f ca="1">HYPERLINK("#" &amp; CELL("address", 'V1.42'!$G$8), "Step2")</f>
        <v>Step2</v>
      </c>
      <c r="F313" s="49" t="str">
        <f>'V1.42'!$H$8</f>
        <v>STE2</v>
      </c>
      <c r="G313" s="53"/>
    </row>
    <row r="314" spans="1:7" x14ac:dyDescent="0.2">
      <c r="A314">
        <v>313</v>
      </c>
      <c r="B314" t="s">
        <v>1459</v>
      </c>
      <c r="C314" s="53" t="str">
        <f ca="1">HYPERLINK("#" &amp; CELL("address", 'V1.42'!$A$2), "V1.42")</f>
        <v>V1.42</v>
      </c>
      <c r="D314" s="53" t="str">
        <f ca="1">HYPERLINK("#" &amp; CELL("address", 'V1.42'!$G$3), "Settlement channel")</f>
        <v>Settlement channel</v>
      </c>
      <c r="E314" s="53" t="str">
        <f ca="1">HYPERLINK("#" &amp; CELL("address", 'V1.42'!$G$9), "Equens")</f>
        <v>Equens</v>
      </c>
      <c r="F314" s="49" t="str">
        <f>'V1.42'!$H$9</f>
        <v>EQUE</v>
      </c>
      <c r="G314" s="53"/>
    </row>
    <row r="315" spans="1:7" x14ac:dyDescent="0.2">
      <c r="A315">
        <v>314</v>
      </c>
      <c r="B315" t="s">
        <v>1459</v>
      </c>
      <c r="C315" s="53" t="str">
        <f ca="1">HYPERLINK("#" &amp; CELL("address", 'V1.42'!$A$2), "V1.42")</f>
        <v>V1.42</v>
      </c>
      <c r="D315" s="53" t="str">
        <f ca="1">HYPERLINK("#" &amp; CELL("address", 'V1.42'!$G$3), "Settlement channel")</f>
        <v>Settlement channel</v>
      </c>
      <c r="E315" s="53" t="str">
        <f ca="1">HYPERLINK("#" &amp; CELL("address", 'V1.42'!$G$11), "TIPS")</f>
        <v>TIPS</v>
      </c>
      <c r="F315" s="49" t="str">
        <f>'V1.42'!$H$11</f>
        <v>TIPS</v>
      </c>
      <c r="G315" s="53"/>
    </row>
    <row r="316" spans="1:7" x14ac:dyDescent="0.2">
      <c r="A316">
        <v>315</v>
      </c>
      <c r="B316" t="s">
        <v>1459</v>
      </c>
      <c r="C316" s="53" t="str">
        <f ca="1">HYPERLINK("#" &amp; CELL("address", 'V1.42'!$A$2), "V1.42")</f>
        <v>V1.42</v>
      </c>
      <c r="D316" s="53" t="str">
        <f ca="1">HYPERLINK("#" &amp; CELL("address", 'V1.42'!$G$3), "Settlement channel")</f>
        <v>Settlement channel</v>
      </c>
      <c r="E316" s="53" t="str">
        <f ca="1">HYPERLINK("#" &amp; CELL("address", 'V1.42'!$G$12), "RT1")</f>
        <v>RT1</v>
      </c>
      <c r="F316" s="49" t="str">
        <f>'V1.42'!$H$12</f>
        <v>ERT1</v>
      </c>
      <c r="G316" s="53"/>
    </row>
    <row r="317" spans="1:7" x14ac:dyDescent="0.2">
      <c r="A317">
        <v>316</v>
      </c>
      <c r="B317" t="s">
        <v>1459</v>
      </c>
      <c r="C317" s="53" t="str">
        <f ca="1">HYPERLINK("#" &amp; CELL("address", 'V1.42'!$A$2), "V1.42")</f>
        <v>V1.42</v>
      </c>
      <c r="D317" s="53" t="str">
        <f ca="1">HYPERLINK("#" &amp; CELL("address", 'V1.42'!$G$3), "Settlement channel")</f>
        <v>Settlement channel</v>
      </c>
      <c r="E317" s="53" t="str">
        <f ca="1">HYPERLINK("#" &amp; CELL("address", 'V1.42'!$G$13), "Other instant")</f>
        <v>Other instant</v>
      </c>
      <c r="F317" s="49" t="str">
        <f>'V1.42'!$H$13</f>
        <v>OTHI</v>
      </c>
      <c r="G317" s="53" t="str">
        <f ca="1">HYPERLINK("#" &amp; CELL("address", Concepts!$A$19), "Click here for definition")</f>
        <v>Click here for definition</v>
      </c>
    </row>
    <row r="318" spans="1:7" x14ac:dyDescent="0.2">
      <c r="A318">
        <v>317</v>
      </c>
      <c r="B318" t="s">
        <v>1459</v>
      </c>
      <c r="C318" s="53" t="str">
        <f ca="1">HYPERLINK("#" &amp; CELL("address", 'V1.42'!$A$2), "V1.42")</f>
        <v>V1.42</v>
      </c>
      <c r="D318" s="53" t="str">
        <f ca="1">HYPERLINK("#" &amp; CELL("address", 'V1.42'!$G$3), "Settlement channel")</f>
        <v>Settlement channel</v>
      </c>
      <c r="E318" s="53" t="str">
        <f ca="1">HYPERLINK("#" &amp; CELL("address", 'V1.42'!$G$14), "On-us")</f>
        <v>On-us</v>
      </c>
      <c r="F318" s="49" t="str">
        <f>'V1.42'!$H$14</f>
        <v>ONUS</v>
      </c>
      <c r="G318" s="53" t="str">
        <f ca="1">HYPERLINK("#" &amp; CELL("address", Concepts!$A$20), "Click here for definition")</f>
        <v>Click here for definition</v>
      </c>
    </row>
    <row r="319" spans="1:7" x14ac:dyDescent="0.2">
      <c r="A319">
        <v>318</v>
      </c>
      <c r="B319" t="s">
        <v>1459</v>
      </c>
      <c r="C319" s="53" t="str">
        <f ca="1">HYPERLINK("#" &amp; CELL("address", 'V1.42'!$A$2), "V1.42")</f>
        <v>V1.42</v>
      </c>
      <c r="D319" s="53" t="str">
        <f ca="1">HYPERLINK("#" &amp; CELL("address", 'V1.42'!$G$3), "Settlement channel")</f>
        <v>Settlement channel</v>
      </c>
      <c r="E319" s="53" t="str">
        <f ca="1">HYPERLINK("#" &amp; CELL("address", 'V1.42'!$G$15), "PSP LU")</f>
        <v>PSP LU</v>
      </c>
      <c r="F319" s="49" t="str">
        <f>'V1.42'!$H$15</f>
        <v>PSPL</v>
      </c>
      <c r="G319" s="53" t="str">
        <f ca="1">HYPERLINK("#" &amp; CELL("address", Concepts!$A$23), "Click here for definition")</f>
        <v>Click here for definition</v>
      </c>
    </row>
    <row r="320" spans="1:7" x14ac:dyDescent="0.2">
      <c r="A320">
        <v>319</v>
      </c>
      <c r="B320" t="s">
        <v>1459</v>
      </c>
      <c r="C320" s="53" t="str">
        <f ca="1">HYPERLINK("#" &amp; CELL("address", 'V1.42'!$A$2), "V1.42")</f>
        <v>V1.42</v>
      </c>
      <c r="D320" s="53" t="str">
        <f ca="1">HYPERLINK("#" &amp; CELL("address", 'V1.42'!$G$3), "Settlement channel")</f>
        <v>Settlement channel</v>
      </c>
      <c r="E320" s="53" t="str">
        <f ca="1">HYPERLINK("#" &amp; CELL("address", 'V1.42'!$G$16), "PSP non-LU")</f>
        <v>PSP non-LU</v>
      </c>
      <c r="F320" s="49" t="str">
        <f>'V1.42'!$H$16</f>
        <v>PSPN</v>
      </c>
      <c r="G320" s="53" t="str">
        <f ca="1">HYPERLINK("#" &amp; CELL("address", Concepts!$A$24), "Click here for definition")</f>
        <v>Click here for definition</v>
      </c>
    </row>
    <row r="321" spans="1:7" x14ac:dyDescent="0.2">
      <c r="A321">
        <v>320</v>
      </c>
      <c r="B321" t="s">
        <v>1459</v>
      </c>
      <c r="C321" s="53" t="str">
        <f ca="1">HYPERLINK("#" &amp; CELL("address", 'V1.42'!$A$2), "V1.42")</f>
        <v>V1.42</v>
      </c>
      <c r="D321" s="53" t="str">
        <f ca="1">HYPERLINK("#" &amp; CELL("address", 'V1.42'!$G$3), "Settlement channel")</f>
        <v>Settlement channel</v>
      </c>
      <c r="E321" s="53" t="str">
        <f ca="1">HYPERLINK("#" &amp; CELL("address", 'V1.42'!$G$17), "Other")</f>
        <v>Other</v>
      </c>
      <c r="F321" s="49" t="str">
        <f>'V1.42'!$H$17</f>
        <v>OTHR</v>
      </c>
      <c r="G321" s="53" t="str">
        <f ca="1">HYPERLINK("#" &amp; CELL("address", Concepts!$A$25), "Click here for definition")</f>
        <v>Click here for definition</v>
      </c>
    </row>
    <row r="322" spans="1:7" x14ac:dyDescent="0.2">
      <c r="A322">
        <v>321</v>
      </c>
      <c r="B322" t="s">
        <v>1459</v>
      </c>
      <c r="C322" s="53" t="str">
        <f ca="1">HYPERLINK("#" &amp; CELL("address", 'V1.42'!$A$2), "V1.42")</f>
        <v>V1.42</v>
      </c>
      <c r="D322" s="53" t="str">
        <f ca="1">HYPERLINK("#" &amp; CELL("address", 'V1.42'!$I$3), "Country of debtor's PSP")</f>
        <v>Country of debtor's PSP</v>
      </c>
      <c r="E322" s="53" t="str">
        <f ca="1">HYPERLINK("#" &amp; CELL("address", 'V1.42'!$I$5), "Luxembourg")</f>
        <v>Luxembourg</v>
      </c>
      <c r="F322" s="49" t="str">
        <f>'V1.42'!$J$5</f>
        <v>LU</v>
      </c>
      <c r="G322" s="53"/>
    </row>
    <row r="323" spans="1:7" x14ac:dyDescent="0.2">
      <c r="A323">
        <v>322</v>
      </c>
      <c r="B323" t="s">
        <v>1459</v>
      </c>
      <c r="C323" s="53" t="str">
        <f ca="1">HYPERLINK("#" &amp; CELL("address", 'V1.42'!$A$2), "V1.42")</f>
        <v>V1.42</v>
      </c>
      <c r="D323" s="53" t="str">
        <f ca="1">HYPERLINK("#" &amp; CELL("address", 'V1.42'!$I$3), "Country of debtor's PSP")</f>
        <v>Country of debtor's PSP</v>
      </c>
      <c r="E323" s="53" t="str">
        <f ca="1">HYPERLINK("#" &amp; CELL("address", 'V1.42'!$I$7), "2-letter ISO 3166 country code")</f>
        <v>2-letter ISO 3166 country code</v>
      </c>
      <c r="F323" s="49" t="str">
        <f>'V1.42'!$J$7</f>
        <v>[Geo]</v>
      </c>
      <c r="G323" s="53" t="str">
        <f ca="1">HYPERLINK("#" &amp; CELL("address", Concepts!$A$145), "Click here for definition")</f>
        <v>Click here for definition</v>
      </c>
    </row>
    <row r="324" spans="1:7" x14ac:dyDescent="0.2">
      <c r="A324">
        <v>323</v>
      </c>
      <c r="B324" t="s">
        <v>1459</v>
      </c>
      <c r="C324" s="53" t="str">
        <f ca="1">HYPERLINK("#" &amp; CELL("address", 'V1.42'!$A$2), "V1.42")</f>
        <v>V1.42</v>
      </c>
      <c r="D324" s="53" t="str">
        <f ca="1">HYPERLINK("#" &amp; CELL("address", 'V1.42'!$K$3), "Country of creditor's PSP")</f>
        <v>Country of creditor's PSP</v>
      </c>
      <c r="E324" s="53" t="str">
        <f ca="1">HYPERLINK("#" &amp; CELL("address", 'V1.42'!$K$5), "2-letter ISO 3166 country code")</f>
        <v>2-letter ISO 3166 country code</v>
      </c>
      <c r="F324" s="49" t="str">
        <f>'V1.42'!$L$5</f>
        <v>[Geo]</v>
      </c>
      <c r="G324" s="53" t="str">
        <f ca="1">HYPERLINK("#" &amp; CELL("address", Concepts!$A$145), "Click here for definition")</f>
        <v>Click here for definition</v>
      </c>
    </row>
    <row r="325" spans="1:7" x14ac:dyDescent="0.2">
      <c r="A325">
        <v>324</v>
      </c>
      <c r="B325" t="s">
        <v>1459</v>
      </c>
      <c r="C325" s="53" t="str">
        <f ca="1">HYPERLINK("#" &amp; CELL("address", 'V1.42'!$A$2), "V1.42")</f>
        <v>V1.42</v>
      </c>
      <c r="D325" s="53" t="str">
        <f ca="1">HYPERLINK("#" &amp; CELL("address", 'V1.42'!$K$3), "Country of creditor's PSP")</f>
        <v>Country of creditor's PSP</v>
      </c>
      <c r="E325" s="53" t="str">
        <f ca="1">HYPERLINK("#" &amp; CELL("address", 'V1.42'!$K$7), "Luxembourg")</f>
        <v>Luxembourg</v>
      </c>
      <c r="F325" s="49" t="str">
        <f>'V1.42'!$L$7</f>
        <v>LU</v>
      </c>
      <c r="G325" s="53"/>
    </row>
    <row r="326" spans="1:7" x14ac:dyDescent="0.2">
      <c r="A326">
        <v>325</v>
      </c>
      <c r="B326" t="s">
        <v>1459</v>
      </c>
      <c r="C326" s="53" t="str">
        <f ca="1">HYPERLINK("#" &amp; CELL("address", 'V1.42'!$A$2), "V1.42")</f>
        <v>V1.42</v>
      </c>
      <c r="D326" s="53" t="str">
        <f ca="1">HYPERLINK("#" &amp; CELL("address", 'V1.42'!$M$3), "Currency")</f>
        <v>Currency</v>
      </c>
      <c r="E326" s="53" t="str">
        <f ca="1">HYPERLINK("#" &amp; CELL("address", 'V1.42'!$M$4), "3-letter ISO 4217 currency code")</f>
        <v>3-letter ISO 4217 currency code</v>
      </c>
      <c r="F326" s="49" t="str">
        <f>'V1.42'!$N$4</f>
        <v>[Currency]</v>
      </c>
      <c r="G326" s="53" t="str">
        <f ca="1">HYPERLINK("#" &amp; CELL("address", Concepts!$A$146), "Click here for definition")</f>
        <v>Click here for definition</v>
      </c>
    </row>
    <row r="327" spans="1:7" x14ac:dyDescent="0.2">
      <c r="A327">
        <v>326</v>
      </c>
      <c r="B327" t="s">
        <v>1459</v>
      </c>
      <c r="C327" s="53" t="str">
        <f ca="1">HYPERLINK("#" &amp; CELL("address", 'V1.42'!$A$2), "V1.42")</f>
        <v>V1.42</v>
      </c>
      <c r="D327" s="53" t="str">
        <f ca="1">HYPERLINK("#" &amp; CELL("address", 'V1.42'!$O$3), "Metric")</f>
        <v>Metric</v>
      </c>
      <c r="E327" s="53" t="str">
        <f ca="1">HYPERLINK("#" &amp; CELL("address", 'V1.42'!$O$4), "Number of transactions")</f>
        <v>Number of transactions</v>
      </c>
      <c r="F327" s="49" t="str">
        <f>'V1.42'!$P$4</f>
        <v>VOLU</v>
      </c>
      <c r="G327" s="53" t="str">
        <f ca="1">HYPERLINK("#" &amp; CELL("address", Concepts!$A$147), "Click here for definition")</f>
        <v>Click here for definition</v>
      </c>
    </row>
    <row r="328" spans="1:7" x14ac:dyDescent="0.2">
      <c r="A328">
        <v>327</v>
      </c>
      <c r="B328" t="s">
        <v>1459</v>
      </c>
      <c r="C328" s="53" t="str">
        <f ca="1">HYPERLINK("#" &amp; CELL("address", 'V1.42'!$A$2), "V1.42")</f>
        <v>V1.42</v>
      </c>
      <c r="D328" s="53" t="str">
        <f ca="1">HYPERLINK("#" &amp; CELL("address", 'V1.42'!$O$3), "Metric")</f>
        <v>Metric</v>
      </c>
      <c r="E328" s="53" t="str">
        <f ca="1">HYPERLINK("#" &amp; CELL("address", 'V1.42'!$O$5), "Value of transactions")</f>
        <v>Value of transactions</v>
      </c>
      <c r="F328" s="49" t="str">
        <f>'V1.42'!$P$5</f>
        <v>VALE</v>
      </c>
      <c r="G328" s="53" t="str">
        <f ca="1">HYPERLINK("#" &amp; CELL("address", Concepts!$A$148), "Click here for definition")</f>
        <v>Click here for definition</v>
      </c>
    </row>
    <row r="329" spans="1:7" x14ac:dyDescent="0.2">
      <c r="A329">
        <v>328</v>
      </c>
      <c r="B329" t="s">
        <v>1534</v>
      </c>
      <c r="C329" s="53" t="str">
        <f ca="1">HYPERLINK("#" &amp; CELL("address", 'V1.50+V1.50-F'!$A$2), "V1.50")</f>
        <v>V1.50</v>
      </c>
      <c r="D329" s="53" t="str">
        <f ca="1">HYPERLINK("#" &amp; CELL("address", 'V1.50+V1.50-F'!$A$3), "Payment card type")</f>
        <v>Payment card type</v>
      </c>
      <c r="E329" s="53" t="str">
        <f ca="1">HYPERLINK("#" &amp; CELL("address", 'V1.50+V1.50-F'!$A$4), "Debit card")</f>
        <v>Debit card</v>
      </c>
      <c r="F329" s="49" t="str">
        <f>'V1.50+V1.50-F'!$B$4</f>
        <v>DECA</v>
      </c>
      <c r="G329" s="53" t="str">
        <f ca="1">HYPERLINK("#" &amp; CELL("address", Concepts!$A$95), "Click here for definition")</f>
        <v>Click here for definition</v>
      </c>
    </row>
    <row r="330" spans="1:7" x14ac:dyDescent="0.2">
      <c r="A330">
        <v>329</v>
      </c>
      <c r="B330" t="s">
        <v>1534</v>
      </c>
      <c r="C330" s="53" t="str">
        <f ca="1">HYPERLINK("#" &amp; CELL("address", 'V1.50+V1.50-F'!$A$2), "V1.50")</f>
        <v>V1.50</v>
      </c>
      <c r="D330" s="53" t="str">
        <f ca="1">HYPERLINK("#" &amp; CELL("address", 'V1.50+V1.50-F'!$A$3), "Payment card type")</f>
        <v>Payment card type</v>
      </c>
      <c r="E330" s="53" t="str">
        <f ca="1">HYPERLINK("#" &amp; CELL("address", 'V1.50+V1.50-F'!$A$5), "Delayed debit card")</f>
        <v>Delayed debit card</v>
      </c>
      <c r="F330" s="49" t="str">
        <f>'V1.50+V1.50-F'!$B$5</f>
        <v>DDCA</v>
      </c>
      <c r="G330" s="53" t="str">
        <f ca="1">HYPERLINK("#" &amp; CELL("address", Concepts!$A$96), "Click here for definition")</f>
        <v>Click here for definition</v>
      </c>
    </row>
    <row r="331" spans="1:7" x14ac:dyDescent="0.2">
      <c r="A331">
        <v>330</v>
      </c>
      <c r="B331" t="s">
        <v>1534</v>
      </c>
      <c r="C331" s="53" t="str">
        <f ca="1">HYPERLINK("#" &amp; CELL("address", 'V1.50+V1.50-F'!$A$2), "V1.50")</f>
        <v>V1.50</v>
      </c>
      <c r="D331" s="53" t="str">
        <f ca="1">HYPERLINK("#" &amp; CELL("address", 'V1.50+V1.50-F'!$A$3), "Payment card type")</f>
        <v>Payment card type</v>
      </c>
      <c r="E331" s="53" t="str">
        <f ca="1">HYPERLINK("#" &amp; CELL("address", 'V1.50+V1.50-F'!$A$6), "Credit card")</f>
        <v>Credit card</v>
      </c>
      <c r="F331" s="49" t="str">
        <f>'V1.50+V1.50-F'!$B$6</f>
        <v>CRCA</v>
      </c>
      <c r="G331" s="53" t="str">
        <f ca="1">HYPERLINK("#" &amp; CELL("address", Concepts!$A$97), "Click here for definition")</f>
        <v>Click here for definition</v>
      </c>
    </row>
    <row r="332" spans="1:7" x14ac:dyDescent="0.2">
      <c r="A332">
        <v>331</v>
      </c>
      <c r="B332" t="s">
        <v>1534</v>
      </c>
      <c r="C332" s="53" t="str">
        <f ca="1">HYPERLINK("#" &amp; CELL("address", 'V1.50+V1.50-F'!$A$2), "V1.50")</f>
        <v>V1.50</v>
      </c>
      <c r="D332" s="53" t="str">
        <f ca="1">HYPERLINK("#" &amp; CELL("address", 'V1.50+V1.50-F'!$A$3), "Payment card type")</f>
        <v>Payment card type</v>
      </c>
      <c r="E332" s="53" t="str">
        <f ca="1">HYPERLINK("#" &amp; CELL("address", 'V1.50+V1.50-F'!$A$7), "Mixed card (debit+credit)")</f>
        <v>Mixed card (debit+credit)</v>
      </c>
      <c r="F332" s="49" t="str">
        <f>'V1.50+V1.50-F'!$B$7</f>
        <v>MXCA</v>
      </c>
      <c r="G332" s="53" t="str">
        <f ca="1">HYPERLINK("#" &amp; CELL("address", Concepts!$A$98), "Click here for definition")</f>
        <v>Click here for definition</v>
      </c>
    </row>
    <row r="333" spans="1:7" x14ac:dyDescent="0.2">
      <c r="A333">
        <v>332</v>
      </c>
      <c r="B333" t="s">
        <v>1534</v>
      </c>
      <c r="C333" s="53" t="str">
        <f ca="1">HYPERLINK("#" &amp; CELL("address", 'V1.50+V1.50-F'!$A$2), "V1.50")</f>
        <v>V1.50</v>
      </c>
      <c r="D333" s="53" t="str">
        <f ca="1">HYPERLINK("#" &amp; CELL("address", 'V1.50+V1.50-F'!$A$3), "Payment card type")</f>
        <v>Payment card type</v>
      </c>
      <c r="E333" s="53" t="str">
        <f ca="1">HYPERLINK("#" &amp; CELL("address", 'V1.50+V1.50-F'!$A$8), "Prepaid card")</f>
        <v>Prepaid card</v>
      </c>
      <c r="F333" s="49" t="str">
        <f>'V1.50+V1.50-F'!$B$8</f>
        <v>PRCA</v>
      </c>
      <c r="G333" s="53" t="str">
        <f ca="1">HYPERLINK("#" &amp; CELL("address", Concepts!$A$99), "Click here for definition")</f>
        <v>Click here for definition</v>
      </c>
    </row>
    <row r="334" spans="1:7" x14ac:dyDescent="0.2">
      <c r="A334">
        <v>333</v>
      </c>
      <c r="B334" t="s">
        <v>1534</v>
      </c>
      <c r="C334" s="53" t="str">
        <f ca="1">HYPERLINK("#" &amp; CELL("address", 'V1.50+V1.50-F'!$A$2), "V1.50")</f>
        <v>V1.50</v>
      </c>
      <c r="D334" s="53" t="str">
        <f ca="1">HYPERLINK("#" &amp; CELL("address", 'V1.50+V1.50-F'!$A$3), "Payment card type")</f>
        <v>Payment card type</v>
      </c>
      <c r="E334" s="53" t="str">
        <f ca="1">HYPERLINK("#" &amp; CELL("address", 'V1.50+V1.50-F'!$A$9), "Cards which give access to e-money stored on a software based e-money account")</f>
        <v>Cards which give access to e-money stored on a software based e-money account</v>
      </c>
      <c r="F334" s="49" t="str">
        <f>'V1.50+V1.50-F'!$B$9</f>
        <v>E1CA</v>
      </c>
      <c r="G334" s="53" t="str">
        <f ca="1">HYPERLINK("#" &amp; CELL("address", Concepts!$A$182), "Click here for definition")</f>
        <v>Click here for definition</v>
      </c>
    </row>
    <row r="335" spans="1:7" x14ac:dyDescent="0.2">
      <c r="A335">
        <v>334</v>
      </c>
      <c r="B335" t="s">
        <v>1534</v>
      </c>
      <c r="C335" s="53" t="str">
        <f ca="1">HYPERLINK("#" &amp; CELL("address", 'V1.50+V1.50-F'!$A$2), "V1.50")</f>
        <v>V1.50</v>
      </c>
      <c r="D335" s="53" t="str">
        <f ca="1">HYPERLINK("#" &amp; CELL("address", 'V1.50+V1.50-F'!$A$3), "Payment card type")</f>
        <v>Payment card type</v>
      </c>
      <c r="E335" s="53" t="str">
        <f ca="1">HYPERLINK("#" &amp; CELL("address", 'V1.50+V1.50-F'!$A$10), "One-off card")</f>
        <v>One-off card</v>
      </c>
      <c r="F335" s="49" t="str">
        <f>'V1.50+V1.50-F'!$B$10</f>
        <v>ONCA</v>
      </c>
      <c r="G335" s="53" t="str">
        <f ca="1">HYPERLINK("#" &amp; CELL("address", Concepts!$A$100), "Click here for definition")</f>
        <v>Click here for definition</v>
      </c>
    </row>
    <row r="336" spans="1:7" x14ac:dyDescent="0.2">
      <c r="A336">
        <v>335</v>
      </c>
      <c r="B336" t="s">
        <v>1534</v>
      </c>
      <c r="C336" s="53" t="str">
        <f ca="1">HYPERLINK("#" &amp; CELL("address", 'V1.50+V1.50-F'!$A$2), "V1.50")</f>
        <v>V1.50</v>
      </c>
      <c r="D336" s="53" t="str">
        <f ca="1">HYPERLINK("#" &amp; CELL("address", 'V1.50+V1.50-F'!$A$3), "Payment card type")</f>
        <v>Payment card type</v>
      </c>
      <c r="E336" s="53" t="str">
        <f ca="1">HYPERLINK("#" &amp; CELL("address", 'V1.50+V1.50-F'!$A$11), "Other")</f>
        <v>Other</v>
      </c>
      <c r="F336" s="49" t="str">
        <f>'V1.50+V1.50-F'!$B$11</f>
        <v>OTHR</v>
      </c>
      <c r="G336" s="53" t="str">
        <f ca="1">HYPERLINK("#" &amp; CELL("address", Concepts!$A$101), "Click here for definition")</f>
        <v>Click here for definition</v>
      </c>
    </row>
    <row r="337" spans="1:7" x14ac:dyDescent="0.2">
      <c r="A337">
        <v>336</v>
      </c>
      <c r="B337" t="s">
        <v>1534</v>
      </c>
      <c r="C337" s="53" t="str">
        <f ca="1">HYPERLINK("#" &amp; CELL("address", 'V1.50+V1.50-F'!$A$2), "V1.50")</f>
        <v>V1.50</v>
      </c>
      <c r="D337" s="53" t="str">
        <f ca="1">HYPERLINK("#" &amp; CELL("address", 'V1.50+V1.50-F'!$C$3), "Payment card scheme")</f>
        <v>Payment card scheme</v>
      </c>
      <c r="E337" s="53" t="str">
        <f ca="1">HYPERLINK("#" &amp; CELL("address", 'V1.50+V1.50-F'!$C$4), "Mastercard")</f>
        <v>Mastercard</v>
      </c>
      <c r="F337" s="49" t="str">
        <f>'V1.50+V1.50-F'!$D$4</f>
        <v>MSTR</v>
      </c>
      <c r="G337" s="53"/>
    </row>
    <row r="338" spans="1:7" x14ac:dyDescent="0.2">
      <c r="A338">
        <v>337</v>
      </c>
      <c r="B338" t="s">
        <v>1534</v>
      </c>
      <c r="C338" s="53" t="str">
        <f ca="1">HYPERLINK("#" &amp; CELL("address", 'V1.50+V1.50-F'!$A$2), "V1.50")</f>
        <v>V1.50</v>
      </c>
      <c r="D338" s="53" t="str">
        <f ca="1">HYPERLINK("#" &amp; CELL("address", 'V1.50+V1.50-F'!$C$3), "Payment card scheme")</f>
        <v>Payment card scheme</v>
      </c>
      <c r="E338" s="53" t="str">
        <f ca="1">HYPERLINK("#" &amp; CELL("address", 'V1.50+V1.50-F'!$C$5), "VISA - Vpay")</f>
        <v>VISA - Vpay</v>
      </c>
      <c r="F338" s="49" t="str">
        <f>'V1.50+V1.50-F'!$D$5</f>
        <v>VPAY</v>
      </c>
      <c r="G338" s="53"/>
    </row>
    <row r="339" spans="1:7" x14ac:dyDescent="0.2">
      <c r="A339">
        <v>338</v>
      </c>
      <c r="B339" t="s">
        <v>1534</v>
      </c>
      <c r="C339" s="53" t="str">
        <f ca="1">HYPERLINK("#" &amp; CELL("address", 'V1.50+V1.50-F'!$A$2), "V1.50")</f>
        <v>V1.50</v>
      </c>
      <c r="D339" s="53" t="str">
        <f ca="1">HYPERLINK("#" &amp; CELL("address", 'V1.50+V1.50-F'!$C$3), "Payment card scheme")</f>
        <v>Payment card scheme</v>
      </c>
      <c r="E339" s="53" t="str">
        <f ca="1">HYPERLINK("#" &amp; CELL("address", 'V1.50+V1.50-F'!$C$6), "VISA")</f>
        <v>VISA</v>
      </c>
      <c r="F339" s="49" t="str">
        <f>'V1.50+V1.50-F'!$D$6</f>
        <v>VISA</v>
      </c>
      <c r="G339" s="53"/>
    </row>
    <row r="340" spans="1:7" x14ac:dyDescent="0.2">
      <c r="A340">
        <v>339</v>
      </c>
      <c r="B340" t="s">
        <v>1534</v>
      </c>
      <c r="C340" s="53" t="str">
        <f ca="1">HYPERLINK("#" &amp; CELL("address", 'V1.50+V1.50-F'!$A$2), "V1.50")</f>
        <v>V1.50</v>
      </c>
      <c r="D340" s="53" t="str">
        <f ca="1">HYPERLINK("#" &amp; CELL("address", 'V1.50+V1.50-F'!$C$3), "Payment card scheme")</f>
        <v>Payment card scheme</v>
      </c>
      <c r="E340" s="53" t="str">
        <f ca="1">HYPERLINK("#" &amp; CELL("address", 'V1.50+V1.50-F'!$C$7), "China UnionPay")</f>
        <v>China UnionPay</v>
      </c>
      <c r="F340" s="49" t="str">
        <f>'V1.50+V1.50-F'!$D$7</f>
        <v>CHUP</v>
      </c>
      <c r="G340" s="53"/>
    </row>
    <row r="341" spans="1:7" x14ac:dyDescent="0.2">
      <c r="A341">
        <v>340</v>
      </c>
      <c r="B341" t="s">
        <v>1534</v>
      </c>
      <c r="C341" s="53" t="str">
        <f ca="1">HYPERLINK("#" &amp; CELL("address", 'V1.50+V1.50-F'!$A$2), "V1.50")</f>
        <v>V1.50</v>
      </c>
      <c r="D341" s="53" t="str">
        <f ca="1">HYPERLINK("#" &amp; CELL("address", 'V1.50+V1.50-F'!$C$3), "Payment card scheme")</f>
        <v>Payment card scheme</v>
      </c>
      <c r="E341" s="53" t="str">
        <f ca="1">HYPERLINK("#" &amp; CELL("address", 'V1.50+V1.50-F'!$C$8), "Japan Credit Bureau (JCB)")</f>
        <v>Japan Credit Bureau (JCB)</v>
      </c>
      <c r="F341" s="49" t="str">
        <f>'V1.50+V1.50-F'!$D$8</f>
        <v>JCCB</v>
      </c>
      <c r="G341" s="53"/>
    </row>
    <row r="342" spans="1:7" x14ac:dyDescent="0.2">
      <c r="A342">
        <v>341</v>
      </c>
      <c r="B342" t="s">
        <v>1534</v>
      </c>
      <c r="C342" s="53" t="str">
        <f ca="1">HYPERLINK("#" &amp; CELL("address", 'V1.50+V1.50-F'!$A$2), "V1.50")</f>
        <v>V1.50</v>
      </c>
      <c r="D342" s="53" t="str">
        <f ca="1">HYPERLINK("#" &amp; CELL("address", 'V1.50+V1.50-F'!$C$3), "Payment card scheme")</f>
        <v>Payment card scheme</v>
      </c>
      <c r="E342" s="53" t="str">
        <f ca="1">HYPERLINK("#" &amp; CELL("address", 'V1.50+V1.50-F'!$C$9), "American Express")</f>
        <v>American Express</v>
      </c>
      <c r="F342" s="49" t="str">
        <f>'V1.50+V1.50-F'!$D$9</f>
        <v>AMEX</v>
      </c>
      <c r="G342" s="53"/>
    </row>
    <row r="343" spans="1:7" x14ac:dyDescent="0.2">
      <c r="A343">
        <v>342</v>
      </c>
      <c r="B343" t="s">
        <v>1534</v>
      </c>
      <c r="C343" s="53" t="str">
        <f ca="1">HYPERLINK("#" &amp; CELL("address", 'V1.50+V1.50-F'!$A$2), "V1.50")</f>
        <v>V1.50</v>
      </c>
      <c r="D343" s="53" t="str">
        <f ca="1">HYPERLINK("#" &amp; CELL("address", 'V1.50+V1.50-F'!$C$3), "Payment card scheme")</f>
        <v>Payment card scheme</v>
      </c>
      <c r="E343" s="53" t="str">
        <f ca="1">HYPERLINK("#" &amp; CELL("address", 'V1.50+V1.50-F'!$C$10), "Diner's club")</f>
        <v>Diner's club</v>
      </c>
      <c r="F343" s="49" t="str">
        <f>'V1.50+V1.50-F'!$D$10</f>
        <v>DICL</v>
      </c>
      <c r="G343" s="53"/>
    </row>
    <row r="344" spans="1:7" x14ac:dyDescent="0.2">
      <c r="A344">
        <v>343</v>
      </c>
      <c r="B344" t="s">
        <v>1534</v>
      </c>
      <c r="C344" s="53" t="str">
        <f ca="1">HYPERLINK("#" &amp; CELL("address", 'V1.50+V1.50-F'!$A$2), "V1.50")</f>
        <v>V1.50</v>
      </c>
      <c r="D344" s="53" t="str">
        <f ca="1">HYPERLINK("#" &amp; CELL("address", 'V1.50+V1.50-F'!$C$3), "Payment card scheme")</f>
        <v>Payment card scheme</v>
      </c>
      <c r="E344" s="53" t="str">
        <f ca="1">HYPERLINK("#" &amp; CELL("address", 'V1.50+V1.50-F'!$C$11), "Proprietary")</f>
        <v>Proprietary</v>
      </c>
      <c r="F344" s="49" t="str">
        <f>'V1.50+V1.50-F'!$D$11</f>
        <v>PROP</v>
      </c>
      <c r="G344" s="53" t="str">
        <f ca="1">HYPERLINK("#" &amp; CELL("address", Concepts!$A$104), "Click here for definition")</f>
        <v>Click here for definition</v>
      </c>
    </row>
    <row r="345" spans="1:7" x14ac:dyDescent="0.2">
      <c r="A345">
        <v>344</v>
      </c>
      <c r="B345" t="s">
        <v>1534</v>
      </c>
      <c r="C345" s="53" t="str">
        <f ca="1">HYPERLINK("#" &amp; CELL("address", 'V1.50+V1.50-F'!$A$2), "V1.50")</f>
        <v>V1.50</v>
      </c>
      <c r="D345" s="53" t="str">
        <f ca="1">HYPERLINK("#" &amp; CELL("address", 'V1.50+V1.50-F'!$C$3), "Payment card scheme")</f>
        <v>Payment card scheme</v>
      </c>
      <c r="E345" s="53" t="str">
        <f ca="1">HYPERLINK("#" &amp; CELL("address", 'V1.50+V1.50-F'!$C$12), "Other")</f>
        <v>Other</v>
      </c>
      <c r="F345" s="49" t="str">
        <f>'V1.50+V1.50-F'!$D$12</f>
        <v>OTHR</v>
      </c>
      <c r="G345" s="53"/>
    </row>
    <row r="346" spans="1:7" x14ac:dyDescent="0.2">
      <c r="A346">
        <v>345</v>
      </c>
      <c r="B346" t="s">
        <v>1534</v>
      </c>
      <c r="C346" s="53" t="str">
        <f ca="1">HYPERLINK("#" &amp; CELL("address", 'V1.50+V1.50-F'!$A$2), "V1.50")</f>
        <v>V1.50</v>
      </c>
      <c r="D346" s="53" t="str">
        <f ca="1">HYPERLINK("#" &amp; CELL("address", 'V1.50+V1.50-F'!$E$3), "Terminal type")</f>
        <v>Terminal type</v>
      </c>
      <c r="E346" s="53" t="str">
        <f ca="1">HYPERLINK("#" &amp; CELL("address", 'V1.50+V1.50-F'!$E$4), "ATM")</f>
        <v>ATM</v>
      </c>
      <c r="F346" s="49" t="str">
        <f>'V1.50+V1.50-F'!$F$4</f>
        <v>TATM</v>
      </c>
      <c r="G346" s="53" t="str">
        <f ca="1">HYPERLINK("#" &amp; CELL("address", Concepts!$A$105), "Click here for definition")</f>
        <v>Click here for definition</v>
      </c>
    </row>
    <row r="347" spans="1:7" x14ac:dyDescent="0.2">
      <c r="A347">
        <v>346</v>
      </c>
      <c r="B347" t="s">
        <v>1534</v>
      </c>
      <c r="C347" s="53" t="str">
        <f ca="1">HYPERLINK("#" &amp; CELL("address", 'V1.50+V1.50-F'!$A$2), "V1.50")</f>
        <v>V1.50</v>
      </c>
      <c r="D347" s="53" t="str">
        <f ca="1">HYPERLINK("#" &amp; CELL("address", 'V1.50+V1.50-F'!$E$3), "Terminal type")</f>
        <v>Terminal type</v>
      </c>
      <c r="E347" s="53" t="str">
        <f ca="1">HYPERLINK("#" &amp; CELL("address", 'V1.50+V1.50-F'!$E$6), "EFTPOS")</f>
        <v>EFTPOS</v>
      </c>
      <c r="F347" s="49" t="str">
        <f>'V1.50+V1.50-F'!$F$6</f>
        <v>EPOS</v>
      </c>
      <c r="G347" s="53" t="str">
        <f ca="1">HYPERLINK("#" &amp; CELL("address", Concepts!$A$107), "Click here for definition")</f>
        <v>Click here for definition</v>
      </c>
    </row>
    <row r="348" spans="1:7" x14ac:dyDescent="0.2">
      <c r="A348">
        <v>347</v>
      </c>
      <c r="B348" t="s">
        <v>1534</v>
      </c>
      <c r="C348" s="53" t="str">
        <f ca="1">HYPERLINK("#" &amp; CELL("address", 'V1.50+V1.50-F'!$A$2), "V1.50")</f>
        <v>V1.50</v>
      </c>
      <c r="D348" s="53" t="str">
        <f ca="1">HYPERLINK("#" &amp; CELL("address", 'V1.50+V1.50-F'!$E$3), "Terminal type")</f>
        <v>Terminal type</v>
      </c>
      <c r="E348" s="53" t="str">
        <f ca="1">HYPERLINK("#" &amp; CELL("address", 'V1.50+V1.50-F'!$E$7), "Imprinter")</f>
        <v>Imprinter</v>
      </c>
      <c r="F348" s="49" t="str">
        <f>'V1.50+V1.50-F'!$F$7</f>
        <v>IMPR</v>
      </c>
      <c r="G348" s="53" t="str">
        <f ca="1">HYPERLINK("#" &amp; CELL("address", Concepts!$A$108), "Click here for definition")</f>
        <v>Click here for definition</v>
      </c>
    </row>
    <row r="349" spans="1:7" x14ac:dyDescent="0.2">
      <c r="A349">
        <v>348</v>
      </c>
      <c r="B349" t="s">
        <v>1534</v>
      </c>
      <c r="C349" s="53" t="str">
        <f ca="1">HYPERLINK("#" &amp; CELL("address", 'V1.50+V1.50-F'!$A$2), "V1.50")</f>
        <v>V1.50</v>
      </c>
      <c r="D349" s="53" t="str">
        <f ca="1">HYPERLINK("#" &amp; CELL("address", 'V1.50+V1.50-F'!$E$3), "Terminal type")</f>
        <v>Terminal type</v>
      </c>
      <c r="E349" s="53" t="str">
        <f ca="1">HYPERLINK("#" &amp; CELL("address", 'V1.50+V1.50-F'!$E$8), "E-commerce")</f>
        <v>E-commerce</v>
      </c>
      <c r="F349" s="49" t="str">
        <f>'V1.50+V1.50-F'!$F$8</f>
        <v>ECOM</v>
      </c>
      <c r="G349" s="53" t="str">
        <f ca="1">HYPERLINK("#" &amp; CELL("address", Concepts!$A$109), "Click here for definition")</f>
        <v>Click here for definition</v>
      </c>
    </row>
    <row r="350" spans="1:7" x14ac:dyDescent="0.2">
      <c r="A350">
        <v>349</v>
      </c>
      <c r="B350" t="s">
        <v>1534</v>
      </c>
      <c r="C350" s="53" t="str">
        <f ca="1">HYPERLINK("#" &amp; CELL("address", 'V1.50+V1.50-F'!$A$2), "V1.50")</f>
        <v>V1.50</v>
      </c>
      <c r="D350" s="53" t="str">
        <f ca="1">HYPERLINK("#" &amp; CELL("address", 'V1.50+V1.50-F'!$E$3), "Terminal type")</f>
        <v>Terminal type</v>
      </c>
      <c r="E350" s="53" t="str">
        <f ca="1">HYPERLINK("#" &amp; CELL("address", 'V1.50+V1.50-F'!$E$9), "MOTO")</f>
        <v>MOTO</v>
      </c>
      <c r="F350" s="49" t="str">
        <f>'V1.50+V1.50-F'!$F$9</f>
        <v>MOTO</v>
      </c>
      <c r="G350" s="53" t="str">
        <f ca="1">HYPERLINK("#" &amp; CELL("address", Concepts!$A$110), "Click here for definition")</f>
        <v>Click here for definition</v>
      </c>
    </row>
    <row r="351" spans="1:7" x14ac:dyDescent="0.2">
      <c r="A351">
        <v>350</v>
      </c>
      <c r="B351" t="s">
        <v>1534</v>
      </c>
      <c r="C351" s="53" t="str">
        <f ca="1">HYPERLINK("#" &amp; CELL("address", 'V1.50+V1.50-F'!$A$2), "V1.50")</f>
        <v>V1.50</v>
      </c>
      <c r="D351" s="53" t="str">
        <f ca="1">HYPERLINK("#" &amp; CELL("address", 'V1.50+V1.50-F'!$E$3), "Terminal type")</f>
        <v>Terminal type</v>
      </c>
      <c r="E351" s="53" t="str">
        <f ca="1">HYPERLINK("#" &amp; CELL("address", 'V1.50+V1.50-F'!$E$10), "Other")</f>
        <v>Other</v>
      </c>
      <c r="F351" s="49" t="str">
        <f>'V1.50+V1.50-F'!$F$10</f>
        <v>OTHR</v>
      </c>
      <c r="G351" s="53"/>
    </row>
    <row r="352" spans="1:7" x14ac:dyDescent="0.2">
      <c r="A352">
        <v>351</v>
      </c>
      <c r="B352" t="s">
        <v>1534</v>
      </c>
      <c r="C352" s="53" t="str">
        <f ca="1">HYPERLINK("#" &amp; CELL("address", 'V1.50+V1.50-F'!$A$2), "V1.50")</f>
        <v>V1.50</v>
      </c>
      <c r="D352" s="53" t="str">
        <f ca="1">HYPERLINK("#" &amp; CELL("address", 'V1.50+V1.50-F'!$G$3), "Operation type")</f>
        <v>Operation type</v>
      </c>
      <c r="E352" s="53" t="str">
        <f ca="1">HYPERLINK("#" &amp; CELL("address", 'V1.50+V1.50-F'!$G$5), "Sales")</f>
        <v>Sales</v>
      </c>
      <c r="F352" s="49" t="str">
        <f>'V1.50+V1.50-F'!$H$5</f>
        <v>SALE</v>
      </c>
      <c r="G352" s="53" t="str">
        <f ca="1">HYPERLINK("#" &amp; CELL("address", Concepts!$A$111), "Click here for definition")</f>
        <v>Click here for definition</v>
      </c>
    </row>
    <row r="353" spans="1:7" x14ac:dyDescent="0.2">
      <c r="A353">
        <v>352</v>
      </c>
      <c r="B353" t="s">
        <v>1534</v>
      </c>
      <c r="C353" s="53" t="str">
        <f ca="1">HYPERLINK("#" &amp; CELL("address", 'V1.50+V1.50-F'!$A$2), "V1.50")</f>
        <v>V1.50</v>
      </c>
      <c r="D353" s="53" t="str">
        <f ca="1">HYPERLINK("#" &amp; CELL("address", 'V1.50+V1.50-F'!$G$3), "Operation type")</f>
        <v>Operation type</v>
      </c>
      <c r="E353" s="53" t="str">
        <f ca="1">HYPERLINK("#" &amp; CELL("address", 'V1.50+V1.50-F'!$G$6), "Cash advance at a POS terminal")</f>
        <v>Cash advance at a POS terminal</v>
      </c>
      <c r="F353" s="49" t="str">
        <f>'V1.50+V1.50-F'!$H$6</f>
        <v>CADV</v>
      </c>
      <c r="G353" s="53" t="str">
        <f ca="1">HYPERLINK("#" &amp; CELL("address", Concepts!$A$114), "Click here for definition")</f>
        <v>Click here for definition</v>
      </c>
    </row>
    <row r="354" spans="1:7" x14ac:dyDescent="0.2">
      <c r="A354">
        <v>353</v>
      </c>
      <c r="B354" t="s">
        <v>1534</v>
      </c>
      <c r="C354" s="53" t="str">
        <f ca="1">HYPERLINK("#" &amp; CELL("address", 'V1.50+V1.50-F'!$A$2), "V1.50")</f>
        <v>V1.50</v>
      </c>
      <c r="D354" s="53" t="str">
        <f ca="1">HYPERLINK("#" &amp; CELL("address", 'V1.50+V1.50-F'!$G$3), "Operation type")</f>
        <v>Operation type</v>
      </c>
      <c r="E354" s="53" t="str">
        <f ca="1">HYPERLINK("#" &amp; CELL("address", 'V1.50+V1.50-F'!$G$7), "ATM cash withdrawal")</f>
        <v>ATM cash withdrawal</v>
      </c>
      <c r="F354" s="49" t="str">
        <f>'V1.50+V1.50-F'!$H$7</f>
        <v>ATMW</v>
      </c>
      <c r="G354" s="53" t="str">
        <f ca="1">HYPERLINK("#" &amp; CELL("address", Concepts!$A$115), "Click here for definition")</f>
        <v>Click here for definition</v>
      </c>
    </row>
    <row r="355" spans="1:7" x14ac:dyDescent="0.2">
      <c r="A355">
        <v>354</v>
      </c>
      <c r="B355" t="s">
        <v>1534</v>
      </c>
      <c r="C355" s="53" t="str">
        <f ca="1">HYPERLINK("#" &amp; CELL("address", 'V1.50+V1.50-F'!$A$2), "V1.50")</f>
        <v>V1.50</v>
      </c>
      <c r="D355" s="53" t="str">
        <f ca="1">HYPERLINK("#" &amp; CELL("address", 'V1.50+V1.50-F'!$G$3), "Operation type")</f>
        <v>Operation type</v>
      </c>
      <c r="E355" s="53" t="str">
        <f ca="1">HYPERLINK("#" &amp; CELL("address", 'V1.50+V1.50-F'!$G$8), "Other debit operation")</f>
        <v>Other debit operation</v>
      </c>
      <c r="F355" s="49" t="str">
        <f>'V1.50+V1.50-F'!$H$8</f>
        <v>OTHD</v>
      </c>
      <c r="G355" s="53"/>
    </row>
    <row r="356" spans="1:7" x14ac:dyDescent="0.2">
      <c r="A356">
        <v>355</v>
      </c>
      <c r="B356" t="s">
        <v>1534</v>
      </c>
      <c r="C356" s="53" t="str">
        <f ca="1">HYPERLINK("#" &amp; CELL("address", 'V1.50+V1.50-F'!$A$2), "V1.50")</f>
        <v>V1.50</v>
      </c>
      <c r="D356" s="53" t="str">
        <f ca="1">HYPERLINK("#" &amp; CELL("address", 'V1.50+V1.50-F'!$G$3), "Operation type")</f>
        <v>Operation type</v>
      </c>
      <c r="E356" s="53" t="str">
        <f ca="1">HYPERLINK("#" &amp; CELL("address", 'V1.50+V1.50-F'!$G$10), "Sales (credit)")</f>
        <v>Sales (credit)</v>
      </c>
      <c r="F356" s="49" t="str">
        <f>'V1.50+V1.50-F'!$H$10</f>
        <v>SALC</v>
      </c>
      <c r="G356" s="53" t="str">
        <f ca="1">HYPERLINK("#" &amp; CELL("address", Concepts!$A$112), "Click here for definition")</f>
        <v>Click here for definition</v>
      </c>
    </row>
    <row r="357" spans="1:7" x14ac:dyDescent="0.2">
      <c r="A357">
        <v>356</v>
      </c>
      <c r="B357" t="s">
        <v>1534</v>
      </c>
      <c r="C357" s="53" t="str">
        <f ca="1">HYPERLINK("#" &amp; CELL("address", 'V1.50+V1.50-F'!$A$2), "V1.50")</f>
        <v>V1.50</v>
      </c>
      <c r="D357" s="53" t="str">
        <f ca="1">HYPERLINK("#" &amp; CELL("address", 'V1.50+V1.50-F'!$G$3), "Operation type")</f>
        <v>Operation type</v>
      </c>
      <c r="E357" s="53" t="str">
        <f ca="1">HYPERLINK("#" &amp; CELL("address", 'V1.50+V1.50-F'!$G$11), "Refund")</f>
        <v>Refund</v>
      </c>
      <c r="F357" s="49" t="str">
        <f>'V1.50+V1.50-F'!$H$11</f>
        <v>RFND</v>
      </c>
      <c r="G357" s="53" t="str">
        <f ca="1">HYPERLINK("#" &amp; CELL("address", Concepts!$A$113), "Click here for definition")</f>
        <v>Click here for definition</v>
      </c>
    </row>
    <row r="358" spans="1:7" x14ac:dyDescent="0.2">
      <c r="A358">
        <v>357</v>
      </c>
      <c r="B358" t="s">
        <v>1534</v>
      </c>
      <c r="C358" s="53" t="str">
        <f ca="1">HYPERLINK("#" &amp; CELL("address", 'V1.50+V1.50-F'!$A$2), "V1.50")</f>
        <v>V1.50</v>
      </c>
      <c r="D358" s="53" t="str">
        <f ca="1">HYPERLINK("#" &amp; CELL("address", 'V1.50+V1.50-F'!$G$3), "Operation type")</f>
        <v>Operation type</v>
      </c>
      <c r="E358" s="53" t="str">
        <f ca="1">HYPERLINK("#" &amp; CELL("address", 'V1.50+V1.50-F'!$G$12), "ATM cash deposit")</f>
        <v>ATM cash deposit</v>
      </c>
      <c r="F358" s="49" t="str">
        <f>'V1.50+V1.50-F'!$H$12</f>
        <v>ATMD</v>
      </c>
      <c r="G358" s="53" t="str">
        <f ca="1">HYPERLINK("#" &amp; CELL("address", Concepts!$A$116), "Click here for definition")</f>
        <v>Click here for definition</v>
      </c>
    </row>
    <row r="359" spans="1:7" x14ac:dyDescent="0.2">
      <c r="A359">
        <v>358</v>
      </c>
      <c r="B359" t="s">
        <v>1534</v>
      </c>
      <c r="C359" s="53" t="str">
        <f ca="1">HYPERLINK("#" &amp; CELL("address", 'V1.50+V1.50-F'!$A$2), "V1.50")</f>
        <v>V1.50</v>
      </c>
      <c r="D359" s="53" t="str">
        <f ca="1">HYPERLINK("#" &amp; CELL("address", 'V1.50+V1.50-F'!$G$3), "Operation type")</f>
        <v>Operation type</v>
      </c>
      <c r="E359" s="53" t="str">
        <f ca="1">HYPERLINK("#" &amp; CELL("address", 'V1.50+V1.50-F'!$G$13), "Other credit operation")</f>
        <v>Other credit operation</v>
      </c>
      <c r="F359" s="49" t="str">
        <f>'V1.50+V1.50-F'!$H$13</f>
        <v>OTHC</v>
      </c>
      <c r="G359" s="53"/>
    </row>
    <row r="360" spans="1:7" x14ac:dyDescent="0.2">
      <c r="A360">
        <v>359</v>
      </c>
      <c r="B360" t="s">
        <v>1534</v>
      </c>
      <c r="C360" s="53" t="str">
        <f ca="1">HYPERLINK("#" &amp; CELL("address", 'V1.50+V1.50-F'!$A$2), "V1.50")</f>
        <v>V1.50</v>
      </c>
      <c r="D360" s="53" t="str">
        <f ca="1">HYPERLINK("#" &amp; CELL("address", 'V1.50+V1.50-F'!$I$3), "Initiation channel")</f>
        <v>Initiation channel</v>
      </c>
      <c r="E360" s="53" t="str">
        <f ca="1">HYPERLINK("#" &amp; CELL("address", 'V1.50+V1.50-F'!$I$5), "Contact-based transaction")</f>
        <v>Contact-based transaction</v>
      </c>
      <c r="F360" s="49" t="str">
        <f>'V1.50+V1.50-F'!$J$5</f>
        <v>CNTR</v>
      </c>
      <c r="G360" s="53" t="str">
        <f ca="1">HYPERLINK("#" &amp; CELL("address", Concepts!$A$117), "Click here for definition")</f>
        <v>Click here for definition</v>
      </c>
    </row>
    <row r="361" spans="1:7" x14ac:dyDescent="0.2">
      <c r="A361">
        <v>360</v>
      </c>
      <c r="B361" t="s">
        <v>1534</v>
      </c>
      <c r="C361" s="53" t="str">
        <f ca="1">HYPERLINK("#" &amp; CELL("address", 'V1.50+V1.50-F'!$A$2), "V1.50")</f>
        <v>V1.50</v>
      </c>
      <c r="D361" s="53" t="str">
        <f ca="1">HYPERLINK("#" &amp; CELL("address", 'V1.50+V1.50-F'!$I$3), "Initiation channel")</f>
        <v>Initiation channel</v>
      </c>
      <c r="E361" s="53" t="str">
        <f ca="1">HYPERLINK("#" &amp; CELL("address", 'V1.50+V1.50-F'!$I$7), "using NFC")</f>
        <v>using NFC</v>
      </c>
      <c r="F361" s="49" t="str">
        <f>'V1.50+V1.50-F'!$J$7</f>
        <v>CNFC</v>
      </c>
      <c r="G361" s="53" t="str">
        <f ca="1">HYPERLINK("#" &amp; CELL("address", Concepts!$A$120), "Click here for definition")</f>
        <v>Click here for definition</v>
      </c>
    </row>
    <row r="362" spans="1:7" x14ac:dyDescent="0.2">
      <c r="A362">
        <v>361</v>
      </c>
      <c r="B362" t="s">
        <v>1534</v>
      </c>
      <c r="C362" s="53" t="str">
        <f ca="1">HYPERLINK("#" &amp; CELL("address", 'V1.50+V1.50-F'!$A$2), "V1.50")</f>
        <v>V1.50</v>
      </c>
      <c r="D362" s="53" t="str">
        <f ca="1">HYPERLINK("#" &amp; CELL("address", 'V1.50+V1.50-F'!$I$3), "Initiation channel")</f>
        <v>Initiation channel</v>
      </c>
      <c r="E362" s="53" t="str">
        <f ca="1">HYPERLINK("#" &amp; CELL("address", 'V1.50+V1.50-F'!$I$8), "using other technology")</f>
        <v>using other technology</v>
      </c>
      <c r="F362" s="49" t="str">
        <f>'V1.50+V1.50-F'!$J$8</f>
        <v>OCLS</v>
      </c>
      <c r="G362" s="53" t="str">
        <f ca="1">HYPERLINK("#" &amp; CELL("address", Concepts!$A$121), "Click here for definition")</f>
        <v>Click here for definition</v>
      </c>
    </row>
    <row r="363" spans="1:7" x14ac:dyDescent="0.2">
      <c r="A363">
        <v>362</v>
      </c>
      <c r="B363" t="s">
        <v>1534</v>
      </c>
      <c r="C363" s="53" t="str">
        <f ca="1">HYPERLINK("#" &amp; CELL("address", 'V1.50+V1.50-F'!$A$2), "V1.50")</f>
        <v>V1.50</v>
      </c>
      <c r="D363" s="53" t="str">
        <f ca="1">HYPERLINK("#" &amp; CELL("address", 'V1.50+V1.50-F'!$I$3), "Initiation channel")</f>
        <v>Initiation channel</v>
      </c>
      <c r="E363" s="53" t="str">
        <f ca="1">HYPERLINK("#" &amp; CELL("address", 'V1.50+V1.50-F'!$I$10), "Remote card transaction")</f>
        <v>Remote card transaction</v>
      </c>
      <c r="F363" s="49" t="str">
        <f>'V1.50+V1.50-F'!$J$10</f>
        <v>RMTR</v>
      </c>
      <c r="G363" s="53" t="str">
        <f ca="1">HYPERLINK("#" &amp; CELL("address", Concepts!$A$118), "Click here for definition")</f>
        <v>Click here for definition</v>
      </c>
    </row>
    <row r="364" spans="1:7" x14ac:dyDescent="0.2">
      <c r="A364">
        <v>363</v>
      </c>
      <c r="B364" t="s">
        <v>1534</v>
      </c>
      <c r="C364" s="53" t="str">
        <f ca="1">HYPERLINK("#" &amp; CELL("address", 'V1.50+V1.50-F'!$A$2), "V1.50")</f>
        <v>V1.50</v>
      </c>
      <c r="D364" s="53" t="str">
        <f ca="1">HYPERLINK("#" &amp; CELL("address", 'V1.50+V1.50-F'!$I$3), "Initiation channel")</f>
        <v>Initiation channel</v>
      </c>
      <c r="E364" s="53" t="str">
        <f ca="1">HYPERLINK("#" &amp; CELL("address", 'V1.50+V1.50-F'!$I$12), "P2P MPS")</f>
        <v>P2P MPS</v>
      </c>
      <c r="F364" s="49" t="str">
        <f>'V1.50+V1.50-F'!$J$12</f>
        <v>P2PM</v>
      </c>
      <c r="G364" s="53" t="str">
        <f ca="1">HYPERLINK("#" &amp; CELL("address", Concepts!$A$40), "Click here for definition")</f>
        <v>Click here for definition</v>
      </c>
    </row>
    <row r="365" spans="1:7" x14ac:dyDescent="0.2">
      <c r="A365">
        <v>364</v>
      </c>
      <c r="B365" t="s">
        <v>1534</v>
      </c>
      <c r="C365" s="53" t="str">
        <f ca="1">HYPERLINK("#" &amp; CELL("address", 'V1.50+V1.50-F'!$A$2), "V1.50")</f>
        <v>V1.50</v>
      </c>
      <c r="D365" s="53" t="str">
        <f ca="1">HYPERLINK("#" &amp; CELL("address", 'V1.50+V1.50-F'!$I$3), "Initiation channel")</f>
        <v>Initiation channel</v>
      </c>
      <c r="E365" s="53" t="str">
        <f ca="1">HYPERLINK("#" &amp; CELL("address", 'V1.50+V1.50-F'!$I$13), "Other MPS")</f>
        <v>Other MPS</v>
      </c>
      <c r="F365" s="49" t="str">
        <f>'V1.50+V1.50-F'!$J$13</f>
        <v>OMPS</v>
      </c>
      <c r="G365" s="53" t="str">
        <f ca="1">HYPERLINK("#" &amp; CELL("address", Concepts!$A$41), "Click here for definition")</f>
        <v>Click here for definition</v>
      </c>
    </row>
    <row r="366" spans="1:7" x14ac:dyDescent="0.2">
      <c r="A366">
        <v>365</v>
      </c>
      <c r="B366" t="s">
        <v>1534</v>
      </c>
      <c r="C366" s="53" t="str">
        <f ca="1">HYPERLINK("#" &amp; CELL("address", 'V1.50+V1.50-F'!$A$2), "V1.50")</f>
        <v>V1.50</v>
      </c>
      <c r="D366" s="53" t="str">
        <f ca="1">HYPERLINK("#" &amp; CELL("address", 'V1.50+V1.50-F'!$I$3), "Initiation channel")</f>
        <v>Initiation channel</v>
      </c>
      <c r="E366" s="53" t="str">
        <f ca="1">HYPERLINK("#" &amp; CELL("address", 'V1.50+V1.50-F'!$I$14), "Other")</f>
        <v>Other</v>
      </c>
      <c r="F366" s="49" t="str">
        <f>'V1.50+V1.50-F'!$J$14</f>
        <v>OTHR</v>
      </c>
      <c r="G366" s="53"/>
    </row>
    <row r="367" spans="1:7" x14ac:dyDescent="0.2">
      <c r="A367">
        <v>366</v>
      </c>
      <c r="B367" t="s">
        <v>1534</v>
      </c>
      <c r="C367" s="53" t="str">
        <f ca="1">HYPERLINK("#" &amp; CELL("address", 'V1.50+V1.50-F'!$A$2), "V1.50")</f>
        <v>V1.50</v>
      </c>
      <c r="D367" s="53" t="str">
        <f ca="1">HYPERLINK("#" &amp; CELL("address", 'V1.50+V1.50-F'!$K$3), "Initiation sub-channel")</f>
        <v>Initiation sub-channel</v>
      </c>
      <c r="E367" s="53" t="str">
        <f ca="1">HYPERLINK("#" &amp; CELL("address", 'V1.50+V1.50-F'!$K$4), "Remote")</f>
        <v>Remote</v>
      </c>
      <c r="F367" s="49" t="str">
        <f>'V1.50+V1.50-F'!$L$4</f>
        <v>REM1</v>
      </c>
      <c r="G367" s="53" t="str">
        <f ca="1">HYPERLINK("#" &amp; CELL("address", Concepts!$A$43), "Click here for definition")</f>
        <v>Click here for definition</v>
      </c>
    </row>
    <row r="368" spans="1:7" x14ac:dyDescent="0.2">
      <c r="A368">
        <v>367</v>
      </c>
      <c r="B368" t="s">
        <v>1534</v>
      </c>
      <c r="C368" s="53" t="str">
        <f ca="1">HYPERLINK("#" &amp; CELL("address", 'V1.50+V1.50-F'!$A$2), "V1.50")</f>
        <v>V1.50</v>
      </c>
      <c r="D368" s="53" t="str">
        <f ca="1">HYPERLINK("#" &amp; CELL("address", 'V1.50+V1.50-F'!$K$3), "Initiation sub-channel")</f>
        <v>Initiation sub-channel</v>
      </c>
      <c r="E368" s="53" t="str">
        <f ca="1">HYPERLINK("#" &amp; CELL("address", 'V1.50+V1.50-F'!$K$5), "Non-remote")</f>
        <v>Non-remote</v>
      </c>
      <c r="F368" s="49" t="str">
        <f>'V1.50+V1.50-F'!$L$5</f>
        <v>REM0</v>
      </c>
      <c r="G368" s="53" t="str">
        <f ca="1">HYPERLINK("#" &amp; CELL("address", Concepts!$A$44), "Click here for definition")</f>
        <v>Click here for definition</v>
      </c>
    </row>
    <row r="369" spans="1:7" x14ac:dyDescent="0.2">
      <c r="A369">
        <v>368</v>
      </c>
      <c r="B369" t="s">
        <v>1534</v>
      </c>
      <c r="C369" s="53" t="str">
        <f ca="1">HYPERLINK("#" &amp; CELL("address", 'V1.50+V1.50-F'!$A$2), "V1.50")</f>
        <v>V1.50</v>
      </c>
      <c r="D369" s="53" t="str">
        <f ca="1">HYPERLINK("#" &amp; CELL("address", 'V1.50+V1.50-F'!$M$3), "SCA")</f>
        <v>SCA</v>
      </c>
      <c r="E369" s="53" t="str">
        <f ca="1">HYPERLINK("#" &amp; CELL("address", 'V1.50+V1.50-F'!$M$4), "SCA used")</f>
        <v>SCA used</v>
      </c>
      <c r="F369" s="49" t="str">
        <f>'V1.50+V1.50-F'!$N$4</f>
        <v>SCA1</v>
      </c>
      <c r="G369" s="53" t="str">
        <f ca="1">HYPERLINK("#" &amp; CELL("address", Concepts!$A$47), "Click here for definition")</f>
        <v>Click here for definition</v>
      </c>
    </row>
    <row r="370" spans="1:7" x14ac:dyDescent="0.2">
      <c r="A370">
        <v>369</v>
      </c>
      <c r="B370" t="s">
        <v>1534</v>
      </c>
      <c r="C370" s="53" t="str">
        <f ca="1">HYPERLINK("#" &amp; CELL("address", 'V1.50+V1.50-F'!$A$2), "V1.50")</f>
        <v>V1.50</v>
      </c>
      <c r="D370" s="53" t="str">
        <f ca="1">HYPERLINK("#" &amp; CELL("address", 'V1.50+V1.50-F'!$M$3), "SCA")</f>
        <v>SCA</v>
      </c>
      <c r="E370" s="53" t="str">
        <f ca="1">HYPERLINK("#" &amp; CELL("address", 'V1.50+V1.50-F'!$M$7), "Trusted beneficiaries")</f>
        <v>Trusted beneficiaries</v>
      </c>
      <c r="F370" s="49" t="str">
        <f>'V1.50+V1.50-F'!$N$7</f>
        <v>TRBN</v>
      </c>
      <c r="G370" s="53" t="str">
        <f ca="1">HYPERLINK("#" &amp; CELL("address", Concepts!$A$50), "Click here for definition")</f>
        <v>Click here for definition</v>
      </c>
    </row>
    <row r="371" spans="1:7" x14ac:dyDescent="0.2">
      <c r="A371">
        <v>370</v>
      </c>
      <c r="B371" t="s">
        <v>1534</v>
      </c>
      <c r="C371" s="53" t="str">
        <f ca="1">HYPERLINK("#" &amp; CELL("address", 'V1.50+V1.50-F'!$A$2), "V1.50")</f>
        <v>V1.50</v>
      </c>
      <c r="D371" s="53" t="str">
        <f ca="1">HYPERLINK("#" &amp; CELL("address", 'V1.50+V1.50-F'!$M$3), "SCA")</f>
        <v>SCA</v>
      </c>
      <c r="E371" s="53" t="str">
        <f ca="1">HYPERLINK("#" &amp; CELL("address", 'V1.50+V1.50-F'!$M$8), "Recurring transaction")</f>
        <v>Recurring transaction</v>
      </c>
      <c r="F371" s="49" t="str">
        <f>'V1.50+V1.50-F'!$N$8</f>
        <v>RETR</v>
      </c>
      <c r="G371" s="53" t="str">
        <f ca="1">HYPERLINK("#" &amp; CELL("address", Concepts!$A$51), "Click here for definition")</f>
        <v>Click here for definition</v>
      </c>
    </row>
    <row r="372" spans="1:7" x14ac:dyDescent="0.2">
      <c r="A372">
        <v>371</v>
      </c>
      <c r="B372" t="s">
        <v>1534</v>
      </c>
      <c r="C372" s="53" t="str">
        <f ca="1">HYPERLINK("#" &amp; CELL("address", 'V1.50+V1.50-F'!$A$2), "V1.50")</f>
        <v>V1.50</v>
      </c>
      <c r="D372" s="53" t="str">
        <f ca="1">HYPERLINK("#" &amp; CELL("address", 'V1.50+V1.50-F'!$M$3), "SCA")</f>
        <v>SCA</v>
      </c>
      <c r="E372" s="53" t="str">
        <f ca="1">HYPERLINK("#" &amp; CELL("address", 'V1.50+V1.50-F'!$M$9), "Other")</f>
        <v>Other</v>
      </c>
      <c r="F372" s="49" t="str">
        <f>'V1.50+V1.50-F'!$N$9</f>
        <v>OTHR</v>
      </c>
      <c r="G372" s="53" t="str">
        <f ca="1">HYPERLINK("#" &amp; CELL("address", Concepts!$A$58), "Click here for definition")</f>
        <v>Click here for definition</v>
      </c>
    </row>
    <row r="373" spans="1:7" x14ac:dyDescent="0.2">
      <c r="A373">
        <v>372</v>
      </c>
      <c r="B373" t="s">
        <v>1534</v>
      </c>
      <c r="C373" s="53" t="str">
        <f ca="1">HYPERLINK("#" &amp; CELL("address", 'V1.50+V1.50-F'!$A$2), "V1.50")</f>
        <v>V1.50</v>
      </c>
      <c r="D373" s="53" t="str">
        <f ca="1">HYPERLINK("#" &amp; CELL("address", 'V1.50+V1.50-F'!$M$3), "SCA")</f>
        <v>SCA</v>
      </c>
      <c r="E373" s="53" t="str">
        <f ca="1">HYPERLINK("#" &amp; CELL("address", 'V1.50+V1.50-F'!$M$11), "Contactless low value")</f>
        <v>Contactless low value</v>
      </c>
      <c r="F373" s="49" t="str">
        <f>'V1.50+V1.50-F'!$N$11</f>
        <v>CLOW</v>
      </c>
      <c r="G373" s="53" t="str">
        <f ca="1">HYPERLINK("#" &amp; CELL("address", Concepts!$A$52), "Click here for definition")</f>
        <v>Click here for definition</v>
      </c>
    </row>
    <row r="374" spans="1:7" x14ac:dyDescent="0.2">
      <c r="A374">
        <v>373</v>
      </c>
      <c r="B374" t="s">
        <v>1534</v>
      </c>
      <c r="C374" s="53" t="str">
        <f ca="1">HYPERLINK("#" &amp; CELL("address", 'V1.50+V1.50-F'!$A$2), "V1.50")</f>
        <v>V1.50</v>
      </c>
      <c r="D374" s="53" t="str">
        <f ca="1">HYPERLINK("#" &amp; CELL("address", 'V1.50+V1.50-F'!$M$3), "SCA")</f>
        <v>SCA</v>
      </c>
      <c r="E374" s="53" t="str">
        <f ca="1">HYPERLINK("#" &amp; CELL("address", 'V1.50+V1.50-F'!$M$12), "Unattended terminal for transport fares or parking fees")</f>
        <v>Unattended terminal for transport fares or parking fees</v>
      </c>
      <c r="F374" s="49" t="str">
        <f>'V1.50+V1.50-F'!$N$12</f>
        <v>UNTE</v>
      </c>
      <c r="G374" s="53" t="str">
        <f ca="1">HYPERLINK("#" &amp; CELL("address", Concepts!$A$53), "Click here for definition")</f>
        <v>Click here for definition</v>
      </c>
    </row>
    <row r="375" spans="1:7" x14ac:dyDescent="0.2">
      <c r="A375">
        <v>374</v>
      </c>
      <c r="B375" t="s">
        <v>1534</v>
      </c>
      <c r="C375" s="53" t="str">
        <f ca="1">HYPERLINK("#" &amp; CELL("address", 'V1.50+V1.50-F'!$A$2), "V1.50")</f>
        <v>V1.50</v>
      </c>
      <c r="D375" s="53" t="str">
        <f ca="1">HYPERLINK("#" &amp; CELL("address", 'V1.50+V1.50-F'!$M$3), "SCA")</f>
        <v>SCA</v>
      </c>
      <c r="E375" s="53" t="str">
        <f ca="1">HYPERLINK("#" &amp; CELL("address", 'V1.50+V1.50-F'!$M$14), "Low value")</f>
        <v>Low value</v>
      </c>
      <c r="F375" s="49" t="str">
        <f>'V1.50+V1.50-F'!$N$14</f>
        <v>RLOW</v>
      </c>
      <c r="G375" s="53" t="str">
        <f ca="1">HYPERLINK("#" &amp; CELL("address", Concepts!$A$54), "Click here for definition")</f>
        <v>Click here for definition</v>
      </c>
    </row>
    <row r="376" spans="1:7" x14ac:dyDescent="0.2">
      <c r="A376">
        <v>375</v>
      </c>
      <c r="B376" t="s">
        <v>1534</v>
      </c>
      <c r="C376" s="53" t="str">
        <f ca="1">HYPERLINK("#" &amp; CELL("address", 'V1.50+V1.50-F'!$A$2), "V1.50")</f>
        <v>V1.50</v>
      </c>
      <c r="D376" s="53" t="str">
        <f ca="1">HYPERLINK("#" &amp; CELL("address", 'V1.50+V1.50-F'!$M$3), "SCA")</f>
        <v>SCA</v>
      </c>
      <c r="E376" s="53" t="str">
        <f ca="1">HYPERLINK("#" &amp; CELL("address", 'V1.50+V1.50-F'!$M$15), "Secure corporate payment processes and protocols")</f>
        <v>Secure corporate payment processes and protocols</v>
      </c>
      <c r="F376" s="49" t="str">
        <f>'V1.50+V1.50-F'!$N$15</f>
        <v>SECO</v>
      </c>
      <c r="G376" s="53" t="str">
        <f ca="1">HYPERLINK("#" &amp; CELL("address", Concepts!$A$55), "Click here for definition")</f>
        <v>Click here for definition</v>
      </c>
    </row>
    <row r="377" spans="1:7" x14ac:dyDescent="0.2">
      <c r="A377">
        <v>376</v>
      </c>
      <c r="B377" t="s">
        <v>1534</v>
      </c>
      <c r="C377" s="53" t="str">
        <f ca="1">HYPERLINK("#" &amp; CELL("address", 'V1.50+V1.50-F'!$A$2), "V1.50")</f>
        <v>V1.50</v>
      </c>
      <c r="D377" s="53" t="str">
        <f ca="1">HYPERLINK("#" &amp; CELL("address", 'V1.50+V1.50-F'!$M$3), "SCA")</f>
        <v>SCA</v>
      </c>
      <c r="E377" s="53" t="str">
        <f ca="1">HYPERLINK("#" &amp; CELL("address", 'V1.50+V1.50-F'!$M$16), "Transaction risk analysis")</f>
        <v>Transaction risk analysis</v>
      </c>
      <c r="F377" s="49" t="str">
        <f>'V1.50+V1.50-F'!$N$16</f>
        <v>RTRA</v>
      </c>
      <c r="G377" s="53" t="str">
        <f ca="1">HYPERLINK("#" &amp; CELL("address", Concepts!$A$56), "Click here for definition")</f>
        <v>Click here for definition</v>
      </c>
    </row>
    <row r="378" spans="1:7" x14ac:dyDescent="0.2">
      <c r="A378">
        <v>377</v>
      </c>
      <c r="B378" t="s">
        <v>1534</v>
      </c>
      <c r="C378" s="53" t="str">
        <f ca="1">HYPERLINK("#" &amp; CELL("address", 'V1.50+V1.50-F'!$A$2), "V1.50")</f>
        <v>V1.50</v>
      </c>
      <c r="D378" s="53" t="str">
        <f ca="1">HYPERLINK("#" &amp; CELL("address", 'V1.50+V1.50-F'!$M$3), "SCA")</f>
        <v>SCA</v>
      </c>
      <c r="E378" s="53" t="str">
        <f ca="1">HYPERLINK("#" &amp; CELL("address", 'V1.50+V1.50-F'!$M$17), "Merchant initiated transaction (MIT)")</f>
        <v>Merchant initiated transaction (MIT)</v>
      </c>
      <c r="F378" s="49" t="str">
        <f>'V1.50+V1.50-F'!$N$17</f>
        <v>MITR</v>
      </c>
      <c r="G378" s="53" t="str">
        <f ca="1">HYPERLINK("#" &amp; CELL("address", Concepts!$A$122), "Click here for definition")</f>
        <v>Click here for definition</v>
      </c>
    </row>
    <row r="379" spans="1:7" x14ac:dyDescent="0.2">
      <c r="A379">
        <v>378</v>
      </c>
      <c r="B379" t="s">
        <v>1534</v>
      </c>
      <c r="C379" s="53" t="str">
        <f ca="1">HYPERLINK("#" &amp; CELL("address", 'V1.50+V1.50-F'!$A$2), "V1.50")</f>
        <v>V1.50</v>
      </c>
      <c r="D379" s="53" t="str">
        <f ca="1">HYPERLINK("#" &amp; CELL("address", 'V1.50+V1.50-F'!$M$3), "SCA")</f>
        <v>SCA</v>
      </c>
      <c r="E379" s="53" t="str">
        <f ca="1">HYPERLINK("#" &amp; CELL("address", 'V1.50+V1.50-F'!$M$18), "Not applicable")</f>
        <v>Not applicable</v>
      </c>
      <c r="F379" s="49" t="str">
        <f>'V1.50+V1.50-F'!$N$18</f>
        <v>NOAP</v>
      </c>
      <c r="G379" s="53" t="str">
        <f ca="1">HYPERLINK("#" &amp; CELL("address", Concepts!$A$57), "Click here for definition")</f>
        <v>Click here for definition</v>
      </c>
    </row>
    <row r="380" spans="1:7" x14ac:dyDescent="0.2">
      <c r="A380">
        <v>379</v>
      </c>
      <c r="B380" t="s">
        <v>1534</v>
      </c>
      <c r="C380" s="53" t="str">
        <f ca="1">HYPERLINK("#" &amp; CELL("address", 'V1.50+V1.50-F'!$A$2), "V1.50")</f>
        <v>V1.50</v>
      </c>
      <c r="D380" s="53" t="str">
        <f ca="1">HYPERLINK("#" &amp; CELL("address", 'V1.50+V1.50-F'!$O$3), "Fraud type")</f>
        <v>Fraud type</v>
      </c>
      <c r="E380" s="53" t="str">
        <f ca="1">HYPERLINK("#" &amp; CELL("address", 'V1.50+V1.50-F'!$O$4), "Not applicable")</f>
        <v>Not applicable</v>
      </c>
      <c r="F380" s="49" t="str">
        <f>'V1.50+V1.50-F'!$P$4</f>
        <v>NOAP</v>
      </c>
      <c r="G380" s="53" t="str">
        <f ca="1">HYPERLINK("#" &amp; CELL("address", Concepts!$A$59), "Click here for definition")</f>
        <v>Click here for definition</v>
      </c>
    </row>
    <row r="381" spans="1:7" x14ac:dyDescent="0.2">
      <c r="A381">
        <v>380</v>
      </c>
      <c r="B381" t="s">
        <v>1534</v>
      </c>
      <c r="C381" s="53" t="str">
        <f ca="1">HYPERLINK("#" &amp; CELL("address", 'V1.50+V1.50-F'!$A$2), "V1.50")</f>
        <v>V1.50</v>
      </c>
      <c r="D381" s="53" t="str">
        <f ca="1">HYPERLINK("#" &amp; CELL("address", 'V1.50+V1.50-F'!$Q$3), "Country of acquirer")</f>
        <v>Country of acquirer</v>
      </c>
      <c r="E381" s="53" t="str">
        <f ca="1">HYPERLINK("#" &amp; CELL("address", 'V1.50+V1.50-F'!$Q$4), "2-letter ISO 3166 country code")</f>
        <v>2-letter ISO 3166 country code</v>
      </c>
      <c r="F381" s="49" t="str">
        <f>'V1.50+V1.50-F'!$R$4</f>
        <v>[Geo]</v>
      </c>
      <c r="G381" s="53" t="str">
        <f ca="1">HYPERLINK("#" &amp; CELL("address", Concepts!$A$145), "Click here for definition")</f>
        <v>Click here for definition</v>
      </c>
    </row>
    <row r="382" spans="1:7" x14ac:dyDescent="0.2">
      <c r="A382">
        <v>381</v>
      </c>
      <c r="B382" t="s">
        <v>1534</v>
      </c>
      <c r="C382" s="53" t="str">
        <f ca="1">HYPERLINK("#" &amp; CELL("address", 'V1.50+V1.50-F'!$A$2), "V1.50")</f>
        <v>V1.50</v>
      </c>
      <c r="D382" s="53" t="str">
        <f ca="1">HYPERLINK("#" &amp; CELL("address", 'V1.50+V1.50-F'!$S$3), "Country of terminal")</f>
        <v>Country of terminal</v>
      </c>
      <c r="E382" s="53" t="str">
        <f ca="1">HYPERLINK("#" &amp; CELL("address", 'V1.50+V1.50-F'!$S$4), "2-letter ISO 3166 country code")</f>
        <v>2-letter ISO 3166 country code</v>
      </c>
      <c r="F382" s="49" t="str">
        <f>'V1.50+V1.50-F'!$T$4</f>
        <v>[Geo]</v>
      </c>
      <c r="G382" s="53" t="str">
        <f ca="1">HYPERLINK("#" &amp; CELL("address", Concepts!$A$145), "Click here for definition")</f>
        <v>Click here for definition</v>
      </c>
    </row>
    <row r="383" spans="1:7" x14ac:dyDescent="0.2">
      <c r="A383">
        <v>382</v>
      </c>
      <c r="B383" t="s">
        <v>1534</v>
      </c>
      <c r="C383" s="53" t="str">
        <f ca="1">HYPERLINK("#" &amp; CELL("address", 'V1.50+V1.50-F'!$A$2), "V1.50")</f>
        <v>V1.50</v>
      </c>
      <c r="D383" s="53" t="str">
        <f ca="1">HYPERLINK("#" &amp; CELL("address", 'V1.50+V1.50-F'!$U$3), "Currency")</f>
        <v>Currency</v>
      </c>
      <c r="E383" s="53" t="str">
        <f ca="1">HYPERLINK("#" &amp; CELL("address", 'V1.50+V1.50-F'!$U$4), "3-letter ISO 4217 currency code")</f>
        <v>3-letter ISO 4217 currency code</v>
      </c>
      <c r="F383" s="49" t="str">
        <f>'V1.50+V1.50-F'!$V$4</f>
        <v>[Currency]</v>
      </c>
      <c r="G383" s="53" t="str">
        <f ca="1">HYPERLINK("#" &amp; CELL("address", Concepts!$A$146), "Click here for definition")</f>
        <v>Click here for definition</v>
      </c>
    </row>
    <row r="384" spans="1:7" x14ac:dyDescent="0.2">
      <c r="A384">
        <v>383</v>
      </c>
      <c r="B384" t="s">
        <v>1534</v>
      </c>
      <c r="C384" s="53" t="str">
        <f ca="1">HYPERLINK("#" &amp; CELL("address", 'V1.50+V1.50-F'!$A$2), "V1.50")</f>
        <v>V1.50</v>
      </c>
      <c r="D384" s="53" t="str">
        <f ca="1">HYPERLINK("#" &amp; CELL("address", 'V1.50+V1.50-F'!$W$3), "Metric")</f>
        <v>Metric</v>
      </c>
      <c r="E384" s="53" t="str">
        <f ca="1">HYPERLINK("#" &amp; CELL("address", 'V1.50+V1.50-F'!$W$4), "Number of transactions")</f>
        <v>Number of transactions</v>
      </c>
      <c r="F384" s="49" t="str">
        <f>'V1.50+V1.50-F'!$X$4</f>
        <v>VOLU</v>
      </c>
      <c r="G384" s="53" t="str">
        <f ca="1">HYPERLINK("#" &amp; CELL("address", Concepts!$A$147), "Click here for definition")</f>
        <v>Click here for definition</v>
      </c>
    </row>
    <row r="385" spans="1:7" x14ac:dyDescent="0.2">
      <c r="A385">
        <v>384</v>
      </c>
      <c r="B385" t="s">
        <v>1534</v>
      </c>
      <c r="C385" s="53" t="str">
        <f ca="1">HYPERLINK("#" &amp; CELL("address", 'V1.50+V1.50-F'!$A$2), "V1.50")</f>
        <v>V1.50</v>
      </c>
      <c r="D385" s="53" t="str">
        <f ca="1">HYPERLINK("#" &amp; CELL("address", 'V1.50+V1.50-F'!$W$3), "Metric")</f>
        <v>Metric</v>
      </c>
      <c r="E385" s="53" t="str">
        <f ca="1">HYPERLINK("#" &amp; CELL("address", 'V1.50+V1.50-F'!$W$5), "Value of transactions")</f>
        <v>Value of transactions</v>
      </c>
      <c r="F385" s="49" t="str">
        <f>'V1.50+V1.50-F'!$X$5</f>
        <v>VALE</v>
      </c>
      <c r="G385" s="53" t="str">
        <f ca="1">HYPERLINK("#" &amp; CELL("address", Concepts!$A$148), "Click here for definition")</f>
        <v>Click here for definition</v>
      </c>
    </row>
    <row r="386" spans="1:7" x14ac:dyDescent="0.2">
      <c r="A386">
        <v>385</v>
      </c>
      <c r="B386" t="s">
        <v>1534</v>
      </c>
      <c r="C386" s="53" t="str">
        <f ca="1">HYPERLINK("#" &amp; CELL("address", 'V1.50+V1.50-F'!$A$23), "V1.50-F")</f>
        <v>V1.50-F</v>
      </c>
      <c r="D386" s="53" t="str">
        <f ca="1">HYPERLINK("#" &amp; CELL("address", 'V1.50+V1.50-F'!$A$3), "Payment card type")</f>
        <v>Payment card type</v>
      </c>
      <c r="E386" s="53" t="str">
        <f ca="1">HYPERLINK("#" &amp; CELL("address", 'V1.50+V1.50-F'!$A$4), "Debit card")</f>
        <v>Debit card</v>
      </c>
      <c r="F386" s="49" t="str">
        <f>'V1.50+V1.50-F'!$B$4</f>
        <v>DECA</v>
      </c>
      <c r="G386" s="53" t="str">
        <f ca="1">HYPERLINK("#" &amp; CELL("address", Concepts!$A$95), "Click here for definition")</f>
        <v>Click here for definition</v>
      </c>
    </row>
    <row r="387" spans="1:7" x14ac:dyDescent="0.2">
      <c r="A387">
        <v>386</v>
      </c>
      <c r="B387" t="s">
        <v>1534</v>
      </c>
      <c r="C387" s="53" t="str">
        <f ca="1">HYPERLINK("#" &amp; CELL("address", 'V1.50+V1.50-F'!$A$23), "V1.50-F")</f>
        <v>V1.50-F</v>
      </c>
      <c r="D387" s="53" t="str">
        <f ca="1">HYPERLINK("#" &amp; CELL("address", 'V1.50+V1.50-F'!$A$3), "Payment card type")</f>
        <v>Payment card type</v>
      </c>
      <c r="E387" s="53" t="str">
        <f ca="1">HYPERLINK("#" &amp; CELL("address", 'V1.50+V1.50-F'!$A$5), "Delayed debit card")</f>
        <v>Delayed debit card</v>
      </c>
      <c r="F387" s="49" t="str">
        <f>'V1.50+V1.50-F'!$B$5</f>
        <v>DDCA</v>
      </c>
      <c r="G387" s="53" t="str">
        <f ca="1">HYPERLINK("#" &amp; CELL("address", Concepts!$A$96), "Click here for definition")</f>
        <v>Click here for definition</v>
      </c>
    </row>
    <row r="388" spans="1:7" x14ac:dyDescent="0.2">
      <c r="A388">
        <v>387</v>
      </c>
      <c r="B388" t="s">
        <v>1534</v>
      </c>
      <c r="C388" s="53" t="str">
        <f ca="1">HYPERLINK("#" &amp; CELL("address", 'V1.50+V1.50-F'!$A$23), "V1.50-F")</f>
        <v>V1.50-F</v>
      </c>
      <c r="D388" s="53" t="str">
        <f ca="1">HYPERLINK("#" &amp; CELL("address", 'V1.50+V1.50-F'!$A$3), "Payment card type")</f>
        <v>Payment card type</v>
      </c>
      <c r="E388" s="53" t="str">
        <f ca="1">HYPERLINK("#" &amp; CELL("address", 'V1.50+V1.50-F'!$A$6), "Credit card")</f>
        <v>Credit card</v>
      </c>
      <c r="F388" s="49" t="str">
        <f>'V1.50+V1.50-F'!$B$6</f>
        <v>CRCA</v>
      </c>
      <c r="G388" s="53" t="str">
        <f ca="1">HYPERLINK("#" &amp; CELL("address", Concepts!$A$97), "Click here for definition")</f>
        <v>Click here for definition</v>
      </c>
    </row>
    <row r="389" spans="1:7" x14ac:dyDescent="0.2">
      <c r="A389">
        <v>388</v>
      </c>
      <c r="B389" t="s">
        <v>1534</v>
      </c>
      <c r="C389" s="53" t="str">
        <f ca="1">HYPERLINK("#" &amp; CELL("address", 'V1.50+V1.50-F'!$A$23), "V1.50-F")</f>
        <v>V1.50-F</v>
      </c>
      <c r="D389" s="53" t="str">
        <f ca="1">HYPERLINK("#" &amp; CELL("address", 'V1.50+V1.50-F'!$A$3), "Payment card type")</f>
        <v>Payment card type</v>
      </c>
      <c r="E389" s="53" t="str">
        <f ca="1">HYPERLINK("#" &amp; CELL("address", 'V1.50+V1.50-F'!$A$7), "Mixed card (debit+credit)")</f>
        <v>Mixed card (debit+credit)</v>
      </c>
      <c r="F389" s="49" t="str">
        <f>'V1.50+V1.50-F'!$B$7</f>
        <v>MXCA</v>
      </c>
      <c r="G389" s="53" t="str">
        <f ca="1">HYPERLINK("#" &amp; CELL("address", Concepts!$A$98), "Click here for definition")</f>
        <v>Click here for definition</v>
      </c>
    </row>
    <row r="390" spans="1:7" x14ac:dyDescent="0.2">
      <c r="A390">
        <v>389</v>
      </c>
      <c r="B390" t="s">
        <v>1534</v>
      </c>
      <c r="C390" s="53" t="str">
        <f ca="1">HYPERLINK("#" &amp; CELL("address", 'V1.50+V1.50-F'!$A$23), "V1.50-F")</f>
        <v>V1.50-F</v>
      </c>
      <c r="D390" s="53" t="str">
        <f ca="1">HYPERLINK("#" &amp; CELL("address", 'V1.50+V1.50-F'!$A$3), "Payment card type")</f>
        <v>Payment card type</v>
      </c>
      <c r="E390" s="53" t="str">
        <f ca="1">HYPERLINK("#" &amp; CELL("address", 'V1.50+V1.50-F'!$A$8), "Prepaid card")</f>
        <v>Prepaid card</v>
      </c>
      <c r="F390" s="49" t="str">
        <f>'V1.50+V1.50-F'!$B$8</f>
        <v>PRCA</v>
      </c>
      <c r="G390" s="53" t="str">
        <f ca="1">HYPERLINK("#" &amp; CELL("address", Concepts!$A$99), "Click here for definition")</f>
        <v>Click here for definition</v>
      </c>
    </row>
    <row r="391" spans="1:7" x14ac:dyDescent="0.2">
      <c r="A391">
        <v>390</v>
      </c>
      <c r="B391" t="s">
        <v>1534</v>
      </c>
      <c r="C391" s="53" t="str">
        <f ca="1">HYPERLINK("#" &amp; CELL("address", 'V1.50+V1.50-F'!$A$23), "V1.50-F")</f>
        <v>V1.50-F</v>
      </c>
      <c r="D391" s="53" t="str">
        <f ca="1">HYPERLINK("#" &amp; CELL("address", 'V1.50+V1.50-F'!$A$3), "Payment card type")</f>
        <v>Payment card type</v>
      </c>
      <c r="E391" s="53" t="str">
        <f ca="1">HYPERLINK("#" &amp; CELL("address", 'V1.50+V1.50-F'!$A$9), "Cards which give access to e-money stored on a software based e-money account")</f>
        <v>Cards which give access to e-money stored on a software based e-money account</v>
      </c>
      <c r="F391" s="49" t="str">
        <f>'V1.50+V1.50-F'!$B$9</f>
        <v>E1CA</v>
      </c>
      <c r="G391" s="53" t="str">
        <f ca="1">HYPERLINK("#" &amp; CELL("address", Concepts!$A$182), "Click here for definition")</f>
        <v>Click here for definition</v>
      </c>
    </row>
    <row r="392" spans="1:7" x14ac:dyDescent="0.2">
      <c r="A392">
        <v>391</v>
      </c>
      <c r="B392" t="s">
        <v>1534</v>
      </c>
      <c r="C392" s="53" t="str">
        <f ca="1">HYPERLINK("#" &amp; CELL("address", 'V1.50+V1.50-F'!$A$23), "V1.50-F")</f>
        <v>V1.50-F</v>
      </c>
      <c r="D392" s="53" t="str">
        <f ca="1">HYPERLINK("#" &amp; CELL("address", 'V1.50+V1.50-F'!$A$3), "Payment card type")</f>
        <v>Payment card type</v>
      </c>
      <c r="E392" s="53" t="str">
        <f ca="1">HYPERLINK("#" &amp; CELL("address", 'V1.50+V1.50-F'!$A$10), "One-off card")</f>
        <v>One-off card</v>
      </c>
      <c r="F392" s="49" t="str">
        <f>'V1.50+V1.50-F'!$B$10</f>
        <v>ONCA</v>
      </c>
      <c r="G392" s="53" t="str">
        <f ca="1">HYPERLINK("#" &amp; CELL("address", Concepts!$A$100), "Click here for definition")</f>
        <v>Click here for definition</v>
      </c>
    </row>
    <row r="393" spans="1:7" x14ac:dyDescent="0.2">
      <c r="A393">
        <v>392</v>
      </c>
      <c r="B393" t="s">
        <v>1534</v>
      </c>
      <c r="C393" s="53" t="str">
        <f ca="1">HYPERLINK("#" &amp; CELL("address", 'V1.50+V1.50-F'!$A$23), "V1.50-F")</f>
        <v>V1.50-F</v>
      </c>
      <c r="D393" s="53" t="str">
        <f ca="1">HYPERLINK("#" &amp; CELL("address", 'V1.50+V1.50-F'!$A$3), "Payment card type")</f>
        <v>Payment card type</v>
      </c>
      <c r="E393" s="53" t="str">
        <f ca="1">HYPERLINK("#" &amp; CELL("address", 'V1.50+V1.50-F'!$A$11), "Other")</f>
        <v>Other</v>
      </c>
      <c r="F393" s="49" t="str">
        <f>'V1.50+V1.50-F'!$B$11</f>
        <v>OTHR</v>
      </c>
      <c r="G393" s="53" t="str">
        <f ca="1">HYPERLINK("#" &amp; CELL("address", Concepts!$A$101), "Click here for definition")</f>
        <v>Click here for definition</v>
      </c>
    </row>
    <row r="394" spans="1:7" x14ac:dyDescent="0.2">
      <c r="A394">
        <v>393</v>
      </c>
      <c r="B394" t="s">
        <v>1534</v>
      </c>
      <c r="C394" s="53" t="str">
        <f ca="1">HYPERLINK("#" &amp; CELL("address", 'V1.50+V1.50-F'!$A$23), "V1.50-F")</f>
        <v>V1.50-F</v>
      </c>
      <c r="D394" s="53" t="str">
        <f ca="1">HYPERLINK("#" &amp; CELL("address", 'V1.50+V1.50-F'!$C$3), "Payment card scheme")</f>
        <v>Payment card scheme</v>
      </c>
      <c r="E394" s="53" t="str">
        <f ca="1">HYPERLINK("#" &amp; CELL("address", 'V1.50+V1.50-F'!$C$4), "Mastercard")</f>
        <v>Mastercard</v>
      </c>
      <c r="F394" s="49" t="str">
        <f>'V1.50+V1.50-F'!$D$4</f>
        <v>MSTR</v>
      </c>
      <c r="G394" s="53"/>
    </row>
    <row r="395" spans="1:7" x14ac:dyDescent="0.2">
      <c r="A395">
        <v>394</v>
      </c>
      <c r="B395" t="s">
        <v>1534</v>
      </c>
      <c r="C395" s="53" t="str">
        <f ca="1">HYPERLINK("#" &amp; CELL("address", 'V1.50+V1.50-F'!$A$23), "V1.50-F")</f>
        <v>V1.50-F</v>
      </c>
      <c r="D395" s="53" t="str">
        <f ca="1">HYPERLINK("#" &amp; CELL("address", 'V1.50+V1.50-F'!$C$3), "Payment card scheme")</f>
        <v>Payment card scheme</v>
      </c>
      <c r="E395" s="53" t="str">
        <f ca="1">HYPERLINK("#" &amp; CELL("address", 'V1.50+V1.50-F'!$C$5), "VISA - Vpay")</f>
        <v>VISA - Vpay</v>
      </c>
      <c r="F395" s="49" t="str">
        <f>'V1.50+V1.50-F'!$D$5</f>
        <v>VPAY</v>
      </c>
      <c r="G395" s="53"/>
    </row>
    <row r="396" spans="1:7" x14ac:dyDescent="0.2">
      <c r="A396">
        <v>395</v>
      </c>
      <c r="B396" t="s">
        <v>1534</v>
      </c>
      <c r="C396" s="53" t="str">
        <f ca="1">HYPERLINK("#" &amp; CELL("address", 'V1.50+V1.50-F'!$A$23), "V1.50-F")</f>
        <v>V1.50-F</v>
      </c>
      <c r="D396" s="53" t="str">
        <f ca="1">HYPERLINK("#" &amp; CELL("address", 'V1.50+V1.50-F'!$C$3), "Payment card scheme")</f>
        <v>Payment card scheme</v>
      </c>
      <c r="E396" s="53" t="str">
        <f ca="1">HYPERLINK("#" &amp; CELL("address", 'V1.50+V1.50-F'!$C$6), "VISA")</f>
        <v>VISA</v>
      </c>
      <c r="F396" s="49" t="str">
        <f>'V1.50+V1.50-F'!$D$6</f>
        <v>VISA</v>
      </c>
      <c r="G396" s="53"/>
    </row>
    <row r="397" spans="1:7" x14ac:dyDescent="0.2">
      <c r="A397">
        <v>396</v>
      </c>
      <c r="B397" t="s">
        <v>1534</v>
      </c>
      <c r="C397" s="53" t="str">
        <f ca="1">HYPERLINK("#" &amp; CELL("address", 'V1.50+V1.50-F'!$A$23), "V1.50-F")</f>
        <v>V1.50-F</v>
      </c>
      <c r="D397" s="53" t="str">
        <f ca="1">HYPERLINK("#" &amp; CELL("address", 'V1.50+V1.50-F'!$C$3), "Payment card scheme")</f>
        <v>Payment card scheme</v>
      </c>
      <c r="E397" s="53" t="str">
        <f ca="1">HYPERLINK("#" &amp; CELL("address", 'V1.50+V1.50-F'!$C$7), "China UnionPay")</f>
        <v>China UnionPay</v>
      </c>
      <c r="F397" s="49" t="str">
        <f>'V1.50+V1.50-F'!$D$7</f>
        <v>CHUP</v>
      </c>
      <c r="G397" s="53"/>
    </row>
    <row r="398" spans="1:7" x14ac:dyDescent="0.2">
      <c r="A398">
        <v>397</v>
      </c>
      <c r="B398" t="s">
        <v>1534</v>
      </c>
      <c r="C398" s="53" t="str">
        <f ca="1">HYPERLINK("#" &amp; CELL("address", 'V1.50+V1.50-F'!$A$23), "V1.50-F")</f>
        <v>V1.50-F</v>
      </c>
      <c r="D398" s="53" t="str">
        <f ca="1">HYPERLINK("#" &amp; CELL("address", 'V1.50+V1.50-F'!$C$3), "Payment card scheme")</f>
        <v>Payment card scheme</v>
      </c>
      <c r="E398" s="53" t="str">
        <f ca="1">HYPERLINK("#" &amp; CELL("address", 'V1.50+V1.50-F'!$C$8), "Japan Credit Bureau (JCB)")</f>
        <v>Japan Credit Bureau (JCB)</v>
      </c>
      <c r="F398" s="49" t="str">
        <f>'V1.50+V1.50-F'!$D$8</f>
        <v>JCCB</v>
      </c>
      <c r="G398" s="53"/>
    </row>
    <row r="399" spans="1:7" x14ac:dyDescent="0.2">
      <c r="A399">
        <v>398</v>
      </c>
      <c r="B399" t="s">
        <v>1534</v>
      </c>
      <c r="C399" s="53" t="str">
        <f ca="1">HYPERLINK("#" &amp; CELL("address", 'V1.50+V1.50-F'!$A$23), "V1.50-F")</f>
        <v>V1.50-F</v>
      </c>
      <c r="D399" s="53" t="str">
        <f ca="1">HYPERLINK("#" &amp; CELL("address", 'V1.50+V1.50-F'!$C$3), "Payment card scheme")</f>
        <v>Payment card scheme</v>
      </c>
      <c r="E399" s="53" t="str">
        <f ca="1">HYPERLINK("#" &amp; CELL("address", 'V1.50+V1.50-F'!$C$9), "American Express")</f>
        <v>American Express</v>
      </c>
      <c r="F399" s="49" t="str">
        <f>'V1.50+V1.50-F'!$D$9</f>
        <v>AMEX</v>
      </c>
      <c r="G399" s="53"/>
    </row>
    <row r="400" spans="1:7" x14ac:dyDescent="0.2">
      <c r="A400">
        <v>399</v>
      </c>
      <c r="B400" t="s">
        <v>1534</v>
      </c>
      <c r="C400" s="53" t="str">
        <f ca="1">HYPERLINK("#" &amp; CELL("address", 'V1.50+V1.50-F'!$A$23), "V1.50-F")</f>
        <v>V1.50-F</v>
      </c>
      <c r="D400" s="53" t="str">
        <f ca="1">HYPERLINK("#" &amp; CELL("address", 'V1.50+V1.50-F'!$C$3), "Payment card scheme")</f>
        <v>Payment card scheme</v>
      </c>
      <c r="E400" s="53" t="str">
        <f ca="1">HYPERLINK("#" &amp; CELL("address", 'V1.50+V1.50-F'!$C$10), "Diner's club")</f>
        <v>Diner's club</v>
      </c>
      <c r="F400" s="49" t="str">
        <f>'V1.50+V1.50-F'!$D$10</f>
        <v>DICL</v>
      </c>
      <c r="G400" s="53"/>
    </row>
    <row r="401" spans="1:7" x14ac:dyDescent="0.2">
      <c r="A401">
        <v>400</v>
      </c>
      <c r="B401" t="s">
        <v>1534</v>
      </c>
      <c r="C401" s="53" t="str">
        <f ca="1">HYPERLINK("#" &amp; CELL("address", 'V1.50+V1.50-F'!$A$23), "V1.50-F")</f>
        <v>V1.50-F</v>
      </c>
      <c r="D401" s="53" t="str">
        <f ca="1">HYPERLINK("#" &amp; CELL("address", 'V1.50+V1.50-F'!$C$3), "Payment card scheme")</f>
        <v>Payment card scheme</v>
      </c>
      <c r="E401" s="53" t="str">
        <f ca="1">HYPERLINK("#" &amp; CELL("address", 'V1.50+V1.50-F'!$C$11), "Proprietary")</f>
        <v>Proprietary</v>
      </c>
      <c r="F401" s="49" t="str">
        <f>'V1.50+V1.50-F'!$D$11</f>
        <v>PROP</v>
      </c>
      <c r="G401" s="53" t="str">
        <f ca="1">HYPERLINK("#" &amp; CELL("address", Concepts!$A$104), "Click here for definition")</f>
        <v>Click here for definition</v>
      </c>
    </row>
    <row r="402" spans="1:7" x14ac:dyDescent="0.2">
      <c r="A402">
        <v>401</v>
      </c>
      <c r="B402" t="s">
        <v>1534</v>
      </c>
      <c r="C402" s="53" t="str">
        <f ca="1">HYPERLINK("#" &amp; CELL("address", 'V1.50+V1.50-F'!$A$23), "V1.50-F")</f>
        <v>V1.50-F</v>
      </c>
      <c r="D402" s="53" t="str">
        <f ca="1">HYPERLINK("#" &amp; CELL("address", 'V1.50+V1.50-F'!$C$3), "Payment card scheme")</f>
        <v>Payment card scheme</v>
      </c>
      <c r="E402" s="53" t="str">
        <f ca="1">HYPERLINK("#" &amp; CELL("address", 'V1.50+V1.50-F'!$C$12), "Other")</f>
        <v>Other</v>
      </c>
      <c r="F402" s="49" t="str">
        <f>'V1.50+V1.50-F'!$D$12</f>
        <v>OTHR</v>
      </c>
      <c r="G402" s="53"/>
    </row>
    <row r="403" spans="1:7" x14ac:dyDescent="0.2">
      <c r="A403">
        <v>402</v>
      </c>
      <c r="B403" t="s">
        <v>1534</v>
      </c>
      <c r="C403" s="53" t="str">
        <f ca="1">HYPERLINK("#" &amp; CELL("address", 'V1.50+V1.50-F'!$A$23), "V1.50-F")</f>
        <v>V1.50-F</v>
      </c>
      <c r="D403" s="53" t="str">
        <f ca="1">HYPERLINK("#" &amp; CELL("address", 'V1.50+V1.50-F'!$E$3), "Terminal type")</f>
        <v>Terminal type</v>
      </c>
      <c r="E403" s="53" t="str">
        <f ca="1">HYPERLINK("#" &amp; CELL("address", 'V1.50+V1.50-F'!$E$4), "ATM")</f>
        <v>ATM</v>
      </c>
      <c r="F403" s="49" t="str">
        <f>'V1.50+V1.50-F'!$F$4</f>
        <v>TATM</v>
      </c>
      <c r="G403" s="53" t="str">
        <f ca="1">HYPERLINK("#" &amp; CELL("address", Concepts!$A$105), "Click here for definition")</f>
        <v>Click here for definition</v>
      </c>
    </row>
    <row r="404" spans="1:7" x14ac:dyDescent="0.2">
      <c r="A404">
        <v>403</v>
      </c>
      <c r="B404" t="s">
        <v>1534</v>
      </c>
      <c r="C404" s="53" t="str">
        <f ca="1">HYPERLINK("#" &amp; CELL("address", 'V1.50+V1.50-F'!$A$23), "V1.50-F")</f>
        <v>V1.50-F</v>
      </c>
      <c r="D404" s="53" t="str">
        <f ca="1">HYPERLINK("#" &amp; CELL("address", 'V1.50+V1.50-F'!$E$3), "Terminal type")</f>
        <v>Terminal type</v>
      </c>
      <c r="E404" s="53" t="str">
        <f ca="1">HYPERLINK("#" &amp; CELL("address", 'V1.50+V1.50-F'!$E$6), "EFTPOS")</f>
        <v>EFTPOS</v>
      </c>
      <c r="F404" s="49" t="str">
        <f>'V1.50+V1.50-F'!$F$6</f>
        <v>EPOS</v>
      </c>
      <c r="G404" s="53" t="str">
        <f ca="1">HYPERLINK("#" &amp; CELL("address", Concepts!$A$107), "Click here for definition")</f>
        <v>Click here for definition</v>
      </c>
    </row>
    <row r="405" spans="1:7" x14ac:dyDescent="0.2">
      <c r="A405">
        <v>404</v>
      </c>
      <c r="B405" t="s">
        <v>1534</v>
      </c>
      <c r="C405" s="53" t="str">
        <f ca="1">HYPERLINK("#" &amp; CELL("address", 'V1.50+V1.50-F'!$A$23), "V1.50-F")</f>
        <v>V1.50-F</v>
      </c>
      <c r="D405" s="53" t="str">
        <f ca="1">HYPERLINK("#" &amp; CELL("address", 'V1.50+V1.50-F'!$E$3), "Terminal type")</f>
        <v>Terminal type</v>
      </c>
      <c r="E405" s="53" t="str">
        <f ca="1">HYPERLINK("#" &amp; CELL("address", 'V1.50+V1.50-F'!$E$7), "Imprinter")</f>
        <v>Imprinter</v>
      </c>
      <c r="F405" s="49" t="str">
        <f>'V1.50+V1.50-F'!$F$7</f>
        <v>IMPR</v>
      </c>
      <c r="G405" s="53" t="str">
        <f ca="1">HYPERLINK("#" &amp; CELL("address", Concepts!$A$108), "Click here for definition")</f>
        <v>Click here for definition</v>
      </c>
    </row>
    <row r="406" spans="1:7" x14ac:dyDescent="0.2">
      <c r="A406">
        <v>405</v>
      </c>
      <c r="B406" t="s">
        <v>1534</v>
      </c>
      <c r="C406" s="53" t="str">
        <f ca="1">HYPERLINK("#" &amp; CELL("address", 'V1.50+V1.50-F'!$A$23), "V1.50-F")</f>
        <v>V1.50-F</v>
      </c>
      <c r="D406" s="53" t="str">
        <f ca="1">HYPERLINK("#" &amp; CELL("address", 'V1.50+V1.50-F'!$E$3), "Terminal type")</f>
        <v>Terminal type</v>
      </c>
      <c r="E406" s="53" t="str">
        <f ca="1">HYPERLINK("#" &amp; CELL("address", 'V1.50+V1.50-F'!$E$8), "E-commerce")</f>
        <v>E-commerce</v>
      </c>
      <c r="F406" s="49" t="str">
        <f>'V1.50+V1.50-F'!$F$8</f>
        <v>ECOM</v>
      </c>
      <c r="G406" s="53" t="str">
        <f ca="1">HYPERLINK("#" &amp; CELL("address", Concepts!$A$109), "Click here for definition")</f>
        <v>Click here for definition</v>
      </c>
    </row>
    <row r="407" spans="1:7" x14ac:dyDescent="0.2">
      <c r="A407">
        <v>406</v>
      </c>
      <c r="B407" t="s">
        <v>1534</v>
      </c>
      <c r="C407" s="53" t="str">
        <f ca="1">HYPERLINK("#" &amp; CELL("address", 'V1.50+V1.50-F'!$A$23), "V1.50-F")</f>
        <v>V1.50-F</v>
      </c>
      <c r="D407" s="53" t="str">
        <f ca="1">HYPERLINK("#" &amp; CELL("address", 'V1.50+V1.50-F'!$E$3), "Terminal type")</f>
        <v>Terminal type</v>
      </c>
      <c r="E407" s="53" t="str">
        <f ca="1">HYPERLINK("#" &amp; CELL("address", 'V1.50+V1.50-F'!$E$9), "MOTO")</f>
        <v>MOTO</v>
      </c>
      <c r="F407" s="49" t="str">
        <f>'V1.50+V1.50-F'!$F$9</f>
        <v>MOTO</v>
      </c>
      <c r="G407" s="53" t="str">
        <f ca="1">HYPERLINK("#" &amp; CELL("address", Concepts!$A$110), "Click here for definition")</f>
        <v>Click here for definition</v>
      </c>
    </row>
    <row r="408" spans="1:7" x14ac:dyDescent="0.2">
      <c r="A408">
        <v>407</v>
      </c>
      <c r="B408" t="s">
        <v>1534</v>
      </c>
      <c r="C408" s="53" t="str">
        <f ca="1">HYPERLINK("#" &amp; CELL("address", 'V1.50+V1.50-F'!$A$23), "V1.50-F")</f>
        <v>V1.50-F</v>
      </c>
      <c r="D408" s="53" t="str">
        <f ca="1">HYPERLINK("#" &amp; CELL("address", 'V1.50+V1.50-F'!$E$3), "Terminal type")</f>
        <v>Terminal type</v>
      </c>
      <c r="E408" s="53" t="str">
        <f ca="1">HYPERLINK("#" &amp; CELL("address", 'V1.50+V1.50-F'!$E$10), "Other")</f>
        <v>Other</v>
      </c>
      <c r="F408" s="49" t="str">
        <f>'V1.50+V1.50-F'!$F$10</f>
        <v>OTHR</v>
      </c>
      <c r="G408" s="53"/>
    </row>
    <row r="409" spans="1:7" x14ac:dyDescent="0.2">
      <c r="A409">
        <v>408</v>
      </c>
      <c r="B409" t="s">
        <v>1534</v>
      </c>
      <c r="C409" s="53" t="str">
        <f ca="1">HYPERLINK("#" &amp; CELL("address", 'V1.50+V1.50-F'!$A$23), "V1.50-F")</f>
        <v>V1.50-F</v>
      </c>
      <c r="D409" s="53" t="str">
        <f ca="1">HYPERLINK("#" &amp; CELL("address", 'V1.50+V1.50-F'!$G$3), "Operation type")</f>
        <v>Operation type</v>
      </c>
      <c r="E409" s="53" t="str">
        <f ca="1">HYPERLINK("#" &amp; CELL("address", 'V1.50+V1.50-F'!$G$26), "Sales")</f>
        <v>Sales</v>
      </c>
      <c r="F409" s="49" t="str">
        <f>'V1.50+V1.50-F'!$H$26</f>
        <v>SALE</v>
      </c>
      <c r="G409" s="53" t="str">
        <f ca="1">HYPERLINK("#" &amp; CELL("address", Concepts!$A$111), "Click here for definition")</f>
        <v>Click here for definition</v>
      </c>
    </row>
    <row r="410" spans="1:7" x14ac:dyDescent="0.2">
      <c r="A410">
        <v>409</v>
      </c>
      <c r="B410" t="s">
        <v>1534</v>
      </c>
      <c r="C410" s="53" t="str">
        <f ca="1">HYPERLINK("#" &amp; CELL("address", 'V1.50+V1.50-F'!$A$23), "V1.50-F")</f>
        <v>V1.50-F</v>
      </c>
      <c r="D410" s="53" t="str">
        <f ca="1">HYPERLINK("#" &amp; CELL("address", 'V1.50+V1.50-F'!$G$3), "Operation type")</f>
        <v>Operation type</v>
      </c>
      <c r="E410" s="53" t="str">
        <f ca="1">HYPERLINK("#" &amp; CELL("address", 'V1.50+V1.50-F'!$G$27), "Cash advance at a POS terminal")</f>
        <v>Cash advance at a POS terminal</v>
      </c>
      <c r="F410" s="49" t="str">
        <f>'V1.50+V1.50-F'!$H$27</f>
        <v>CADV</v>
      </c>
      <c r="G410" s="53" t="str">
        <f ca="1">HYPERLINK("#" &amp; CELL("address", Concepts!$A$114), "Click here for definition")</f>
        <v>Click here for definition</v>
      </c>
    </row>
    <row r="411" spans="1:7" x14ac:dyDescent="0.2">
      <c r="A411">
        <v>410</v>
      </c>
      <c r="B411" t="s">
        <v>1534</v>
      </c>
      <c r="C411" s="53" t="str">
        <f ca="1">HYPERLINK("#" &amp; CELL("address", 'V1.50+V1.50-F'!$A$23), "V1.50-F")</f>
        <v>V1.50-F</v>
      </c>
      <c r="D411" s="53" t="str">
        <f ca="1">HYPERLINK("#" &amp; CELL("address", 'V1.50+V1.50-F'!$G$3), "Operation type")</f>
        <v>Operation type</v>
      </c>
      <c r="E411" s="53" t="str">
        <f ca="1">HYPERLINK("#" &amp; CELL("address", 'V1.50+V1.50-F'!$G$28), "ATM cash withdrawal")</f>
        <v>ATM cash withdrawal</v>
      </c>
      <c r="F411" s="49" t="str">
        <f>'V1.50+V1.50-F'!$H$28</f>
        <v>ATMW</v>
      </c>
      <c r="G411" s="53" t="str">
        <f ca="1">HYPERLINK("#" &amp; CELL("address", Concepts!$A$115), "Click here for definition")</f>
        <v>Click here for definition</v>
      </c>
    </row>
    <row r="412" spans="1:7" x14ac:dyDescent="0.2">
      <c r="A412">
        <v>411</v>
      </c>
      <c r="B412" t="s">
        <v>1534</v>
      </c>
      <c r="C412" s="53" t="str">
        <f ca="1">HYPERLINK("#" &amp; CELL("address", 'V1.50+V1.50-F'!$A$23), "V1.50-F")</f>
        <v>V1.50-F</v>
      </c>
      <c r="D412" s="53" t="str">
        <f ca="1">HYPERLINK("#" &amp; CELL("address", 'V1.50+V1.50-F'!$G$3), "Operation type")</f>
        <v>Operation type</v>
      </c>
      <c r="E412" s="53" t="str">
        <f ca="1">HYPERLINK("#" &amp; CELL("address", 'V1.50+V1.50-F'!$G$29), "Other debit operation")</f>
        <v>Other debit operation</v>
      </c>
      <c r="F412" s="49" t="str">
        <f>'V1.50+V1.50-F'!$H$29</f>
        <v>OTHD</v>
      </c>
      <c r="G412" s="53"/>
    </row>
    <row r="413" spans="1:7" x14ac:dyDescent="0.2">
      <c r="A413">
        <v>412</v>
      </c>
      <c r="B413" t="s">
        <v>1534</v>
      </c>
      <c r="C413" s="53" t="str">
        <f ca="1">HYPERLINK("#" &amp; CELL("address", 'V1.50+V1.50-F'!$A$23), "V1.50-F")</f>
        <v>V1.50-F</v>
      </c>
      <c r="D413" s="53" t="str">
        <f ca="1">HYPERLINK("#" &amp; CELL("address", 'V1.50+V1.50-F'!$I$3), "Initiation channel")</f>
        <v>Initiation channel</v>
      </c>
      <c r="E413" s="53" t="str">
        <f ca="1">HYPERLINK("#" &amp; CELL("address", 'V1.50+V1.50-F'!$I$5), "Contact-based transaction")</f>
        <v>Contact-based transaction</v>
      </c>
      <c r="F413" s="49" t="str">
        <f>'V1.50+V1.50-F'!$J$5</f>
        <v>CNTR</v>
      </c>
      <c r="G413" s="53" t="str">
        <f ca="1">HYPERLINK("#" &amp; CELL("address", Concepts!$A$117), "Click here for definition")</f>
        <v>Click here for definition</v>
      </c>
    </row>
    <row r="414" spans="1:7" x14ac:dyDescent="0.2">
      <c r="A414">
        <v>413</v>
      </c>
      <c r="B414" t="s">
        <v>1534</v>
      </c>
      <c r="C414" s="53" t="str">
        <f ca="1">HYPERLINK("#" &amp; CELL("address", 'V1.50+V1.50-F'!$A$23), "V1.50-F")</f>
        <v>V1.50-F</v>
      </c>
      <c r="D414" s="53" t="str">
        <f ca="1">HYPERLINK("#" &amp; CELL("address", 'V1.50+V1.50-F'!$I$3), "Initiation channel")</f>
        <v>Initiation channel</v>
      </c>
      <c r="E414" s="53" t="str">
        <f ca="1">HYPERLINK("#" &amp; CELL("address", 'V1.50+V1.50-F'!$I$7), "using NFC")</f>
        <v>using NFC</v>
      </c>
      <c r="F414" s="49" t="str">
        <f>'V1.50+V1.50-F'!$J$7</f>
        <v>CNFC</v>
      </c>
      <c r="G414" s="53" t="str">
        <f ca="1">HYPERLINK("#" &amp; CELL("address", Concepts!$A$120), "Click here for definition")</f>
        <v>Click here for definition</v>
      </c>
    </row>
    <row r="415" spans="1:7" x14ac:dyDescent="0.2">
      <c r="A415">
        <v>414</v>
      </c>
      <c r="B415" t="s">
        <v>1534</v>
      </c>
      <c r="C415" s="53" t="str">
        <f ca="1">HYPERLINK("#" &amp; CELL("address", 'V1.50+V1.50-F'!$A$23), "V1.50-F")</f>
        <v>V1.50-F</v>
      </c>
      <c r="D415" s="53" t="str">
        <f ca="1">HYPERLINK("#" &amp; CELL("address", 'V1.50+V1.50-F'!$I$3), "Initiation channel")</f>
        <v>Initiation channel</v>
      </c>
      <c r="E415" s="53" t="str">
        <f ca="1">HYPERLINK("#" &amp; CELL("address", 'V1.50+V1.50-F'!$I$8), "using other technology")</f>
        <v>using other technology</v>
      </c>
      <c r="F415" s="49" t="str">
        <f>'V1.50+V1.50-F'!$J$8</f>
        <v>OCLS</v>
      </c>
      <c r="G415" s="53" t="str">
        <f ca="1">HYPERLINK("#" &amp; CELL("address", Concepts!$A$121), "Click here for definition")</f>
        <v>Click here for definition</v>
      </c>
    </row>
    <row r="416" spans="1:7" x14ac:dyDescent="0.2">
      <c r="A416">
        <v>415</v>
      </c>
      <c r="B416" t="s">
        <v>1534</v>
      </c>
      <c r="C416" s="53" t="str">
        <f ca="1">HYPERLINK("#" &amp; CELL("address", 'V1.50+V1.50-F'!$A$23), "V1.50-F")</f>
        <v>V1.50-F</v>
      </c>
      <c r="D416" s="53" t="str">
        <f ca="1">HYPERLINK("#" &amp; CELL("address", 'V1.50+V1.50-F'!$I$3), "Initiation channel")</f>
        <v>Initiation channel</v>
      </c>
      <c r="E416" s="53" t="str">
        <f ca="1">HYPERLINK("#" &amp; CELL("address", 'V1.50+V1.50-F'!$I$10), "Remote card transaction")</f>
        <v>Remote card transaction</v>
      </c>
      <c r="F416" s="49" t="str">
        <f>'V1.50+V1.50-F'!$J$10</f>
        <v>RMTR</v>
      </c>
      <c r="G416" s="53" t="str">
        <f ca="1">HYPERLINK("#" &amp; CELL("address", Concepts!$A$118), "Click here for definition")</f>
        <v>Click here for definition</v>
      </c>
    </row>
    <row r="417" spans="1:7" x14ac:dyDescent="0.2">
      <c r="A417">
        <v>416</v>
      </c>
      <c r="B417" t="s">
        <v>1534</v>
      </c>
      <c r="C417" s="53" t="str">
        <f ca="1">HYPERLINK("#" &amp; CELL("address", 'V1.50+V1.50-F'!$A$23), "V1.50-F")</f>
        <v>V1.50-F</v>
      </c>
      <c r="D417" s="53" t="str">
        <f ca="1">HYPERLINK("#" &amp; CELL("address", 'V1.50+V1.50-F'!$I$3), "Initiation channel")</f>
        <v>Initiation channel</v>
      </c>
      <c r="E417" s="53" t="str">
        <f ca="1">HYPERLINK("#" &amp; CELL("address", 'V1.50+V1.50-F'!$I$12), "P2P MPS")</f>
        <v>P2P MPS</v>
      </c>
      <c r="F417" s="49" t="str">
        <f>'V1.50+V1.50-F'!$J$12</f>
        <v>P2PM</v>
      </c>
      <c r="G417" s="53" t="str">
        <f ca="1">HYPERLINK("#" &amp; CELL("address", Concepts!$A$40), "Click here for definition")</f>
        <v>Click here for definition</v>
      </c>
    </row>
    <row r="418" spans="1:7" x14ac:dyDescent="0.2">
      <c r="A418">
        <v>417</v>
      </c>
      <c r="B418" t="s">
        <v>1534</v>
      </c>
      <c r="C418" s="53" t="str">
        <f ca="1">HYPERLINK("#" &amp; CELL("address", 'V1.50+V1.50-F'!$A$23), "V1.50-F")</f>
        <v>V1.50-F</v>
      </c>
      <c r="D418" s="53" t="str">
        <f ca="1">HYPERLINK("#" &amp; CELL("address", 'V1.50+V1.50-F'!$I$3), "Initiation channel")</f>
        <v>Initiation channel</v>
      </c>
      <c r="E418" s="53" t="str">
        <f ca="1">HYPERLINK("#" &amp; CELL("address", 'V1.50+V1.50-F'!$I$13), "Other MPS")</f>
        <v>Other MPS</v>
      </c>
      <c r="F418" s="49" t="str">
        <f>'V1.50+V1.50-F'!$J$13</f>
        <v>OMPS</v>
      </c>
      <c r="G418" s="53" t="str">
        <f ca="1">HYPERLINK("#" &amp; CELL("address", Concepts!$A$41), "Click here for definition")</f>
        <v>Click here for definition</v>
      </c>
    </row>
    <row r="419" spans="1:7" x14ac:dyDescent="0.2">
      <c r="A419">
        <v>418</v>
      </c>
      <c r="B419" t="s">
        <v>1534</v>
      </c>
      <c r="C419" s="53" t="str">
        <f ca="1">HYPERLINK("#" &amp; CELL("address", 'V1.50+V1.50-F'!$A$23), "V1.50-F")</f>
        <v>V1.50-F</v>
      </c>
      <c r="D419" s="53" t="str">
        <f ca="1">HYPERLINK("#" &amp; CELL("address", 'V1.50+V1.50-F'!$I$3), "Initiation channel")</f>
        <v>Initiation channel</v>
      </c>
      <c r="E419" s="53" t="str">
        <f ca="1">HYPERLINK("#" &amp; CELL("address", 'V1.50+V1.50-F'!$I$14), "Other")</f>
        <v>Other</v>
      </c>
      <c r="F419" s="49" t="str">
        <f>'V1.50+V1.50-F'!$J$14</f>
        <v>OTHR</v>
      </c>
      <c r="G419" s="53"/>
    </row>
    <row r="420" spans="1:7" x14ac:dyDescent="0.2">
      <c r="A420">
        <v>419</v>
      </c>
      <c r="B420" t="s">
        <v>1534</v>
      </c>
      <c r="C420" s="53" t="str">
        <f ca="1">HYPERLINK("#" &amp; CELL("address", 'V1.50+V1.50-F'!$A$23), "V1.50-F")</f>
        <v>V1.50-F</v>
      </c>
      <c r="D420" s="53" t="str">
        <f ca="1">HYPERLINK("#" &amp; CELL("address", 'V1.50+V1.50-F'!$K$3), "Initiation sub-channel")</f>
        <v>Initiation sub-channel</v>
      </c>
      <c r="E420" s="53" t="str">
        <f ca="1">HYPERLINK("#" &amp; CELL("address", 'V1.50+V1.50-F'!$K$4), "Remote")</f>
        <v>Remote</v>
      </c>
      <c r="F420" s="49" t="str">
        <f>'V1.50+V1.50-F'!$L$4</f>
        <v>REM1</v>
      </c>
      <c r="G420" s="53" t="str">
        <f ca="1">HYPERLINK("#" &amp; CELL("address", Concepts!$A$43), "Click here for definition")</f>
        <v>Click here for definition</v>
      </c>
    </row>
    <row r="421" spans="1:7" x14ac:dyDescent="0.2">
      <c r="A421">
        <v>420</v>
      </c>
      <c r="B421" t="s">
        <v>1534</v>
      </c>
      <c r="C421" s="53" t="str">
        <f ca="1">HYPERLINK("#" &amp; CELL("address", 'V1.50+V1.50-F'!$A$23), "V1.50-F")</f>
        <v>V1.50-F</v>
      </c>
      <c r="D421" s="53" t="str">
        <f ca="1">HYPERLINK("#" &amp; CELL("address", 'V1.50+V1.50-F'!$K$3), "Initiation sub-channel")</f>
        <v>Initiation sub-channel</v>
      </c>
      <c r="E421" s="53" t="str">
        <f ca="1">HYPERLINK("#" &amp; CELL("address", 'V1.50+V1.50-F'!$K$5), "Non-remote")</f>
        <v>Non-remote</v>
      </c>
      <c r="F421" s="49" t="str">
        <f>'V1.50+V1.50-F'!$L$5</f>
        <v>REM0</v>
      </c>
      <c r="G421" s="53" t="str">
        <f ca="1">HYPERLINK("#" &amp; CELL("address", Concepts!$A$44), "Click here for definition")</f>
        <v>Click here for definition</v>
      </c>
    </row>
    <row r="422" spans="1:7" x14ac:dyDescent="0.2">
      <c r="A422">
        <v>421</v>
      </c>
      <c r="B422" t="s">
        <v>1534</v>
      </c>
      <c r="C422" s="53" t="str">
        <f ca="1">HYPERLINK("#" &amp; CELL("address", 'V1.50+V1.50-F'!$A$23), "V1.50-F")</f>
        <v>V1.50-F</v>
      </c>
      <c r="D422" s="53" t="str">
        <f ca="1">HYPERLINK("#" &amp; CELL("address", 'V1.50+V1.50-F'!$M$3), "SCA")</f>
        <v>SCA</v>
      </c>
      <c r="E422" s="53" t="str">
        <f ca="1">HYPERLINK("#" &amp; CELL("address", 'V1.50+V1.50-F'!$M$4), "SCA used")</f>
        <v>SCA used</v>
      </c>
      <c r="F422" s="49" t="str">
        <f>'V1.50+V1.50-F'!$N$4</f>
        <v>SCA1</v>
      </c>
      <c r="G422" s="53" t="str">
        <f ca="1">HYPERLINK("#" &amp; CELL("address", Concepts!$A$47), "Click here for definition")</f>
        <v>Click here for definition</v>
      </c>
    </row>
    <row r="423" spans="1:7" x14ac:dyDescent="0.2">
      <c r="A423">
        <v>422</v>
      </c>
      <c r="B423" t="s">
        <v>1534</v>
      </c>
      <c r="C423" s="53" t="str">
        <f ca="1">HYPERLINK("#" &amp; CELL("address", 'V1.50+V1.50-F'!$A$23), "V1.50-F")</f>
        <v>V1.50-F</v>
      </c>
      <c r="D423" s="53" t="str">
        <f ca="1">HYPERLINK("#" &amp; CELL("address", 'V1.50+V1.50-F'!$M$3), "SCA")</f>
        <v>SCA</v>
      </c>
      <c r="E423" s="53" t="str">
        <f ca="1">HYPERLINK("#" &amp; CELL("address", 'V1.50+V1.50-F'!$M$7), "Trusted beneficiaries")</f>
        <v>Trusted beneficiaries</v>
      </c>
      <c r="F423" s="49" t="str">
        <f>'V1.50+V1.50-F'!$N$7</f>
        <v>TRBN</v>
      </c>
      <c r="G423" s="53" t="str">
        <f ca="1">HYPERLINK("#" &amp; CELL("address", Concepts!$A$50), "Click here for definition")</f>
        <v>Click here for definition</v>
      </c>
    </row>
    <row r="424" spans="1:7" x14ac:dyDescent="0.2">
      <c r="A424">
        <v>423</v>
      </c>
      <c r="B424" t="s">
        <v>1534</v>
      </c>
      <c r="C424" s="53" t="str">
        <f ca="1">HYPERLINK("#" &amp; CELL("address", 'V1.50+V1.50-F'!$A$23), "V1.50-F")</f>
        <v>V1.50-F</v>
      </c>
      <c r="D424" s="53" t="str">
        <f ca="1">HYPERLINK("#" &amp; CELL("address", 'V1.50+V1.50-F'!$M$3), "SCA")</f>
        <v>SCA</v>
      </c>
      <c r="E424" s="53" t="str">
        <f ca="1">HYPERLINK("#" &amp; CELL("address", 'V1.50+V1.50-F'!$M$8), "Recurring transaction")</f>
        <v>Recurring transaction</v>
      </c>
      <c r="F424" s="49" t="str">
        <f>'V1.50+V1.50-F'!$N$8</f>
        <v>RETR</v>
      </c>
      <c r="G424" s="53" t="str">
        <f ca="1">HYPERLINK("#" &amp; CELL("address", Concepts!$A$51), "Click here for definition")</f>
        <v>Click here for definition</v>
      </c>
    </row>
    <row r="425" spans="1:7" x14ac:dyDescent="0.2">
      <c r="A425">
        <v>424</v>
      </c>
      <c r="B425" t="s">
        <v>1534</v>
      </c>
      <c r="C425" s="53" t="str">
        <f ca="1">HYPERLINK("#" &amp; CELL("address", 'V1.50+V1.50-F'!$A$23), "V1.50-F")</f>
        <v>V1.50-F</v>
      </c>
      <c r="D425" s="53" t="str">
        <f ca="1">HYPERLINK("#" &amp; CELL("address", 'V1.50+V1.50-F'!$M$3), "SCA")</f>
        <v>SCA</v>
      </c>
      <c r="E425" s="53" t="str">
        <f ca="1">HYPERLINK("#" &amp; CELL("address", 'V1.50+V1.50-F'!$M$9), "Other")</f>
        <v>Other</v>
      </c>
      <c r="F425" s="49" t="str">
        <f>'V1.50+V1.50-F'!$N$9</f>
        <v>OTHR</v>
      </c>
      <c r="G425" s="53" t="str">
        <f ca="1">HYPERLINK("#" &amp; CELL("address", Concepts!$A$58), "Click here for definition")</f>
        <v>Click here for definition</v>
      </c>
    </row>
    <row r="426" spans="1:7" x14ac:dyDescent="0.2">
      <c r="A426">
        <v>425</v>
      </c>
      <c r="B426" t="s">
        <v>1534</v>
      </c>
      <c r="C426" s="53" t="str">
        <f ca="1">HYPERLINK("#" &amp; CELL("address", 'V1.50+V1.50-F'!$A$23), "V1.50-F")</f>
        <v>V1.50-F</v>
      </c>
      <c r="D426" s="53" t="str">
        <f ca="1">HYPERLINK("#" &amp; CELL("address", 'V1.50+V1.50-F'!$M$3), "SCA")</f>
        <v>SCA</v>
      </c>
      <c r="E426" s="53" t="str">
        <f ca="1">HYPERLINK("#" &amp; CELL("address", 'V1.50+V1.50-F'!$M$11), "Contactless low value")</f>
        <v>Contactless low value</v>
      </c>
      <c r="F426" s="49" t="str">
        <f>'V1.50+V1.50-F'!$N$11</f>
        <v>CLOW</v>
      </c>
      <c r="G426" s="53" t="str">
        <f ca="1">HYPERLINK("#" &amp; CELL("address", Concepts!$A$52), "Click here for definition")</f>
        <v>Click here for definition</v>
      </c>
    </row>
    <row r="427" spans="1:7" x14ac:dyDescent="0.2">
      <c r="A427">
        <v>426</v>
      </c>
      <c r="B427" t="s">
        <v>1534</v>
      </c>
      <c r="C427" s="53" t="str">
        <f ca="1">HYPERLINK("#" &amp; CELL("address", 'V1.50+V1.50-F'!$A$23), "V1.50-F")</f>
        <v>V1.50-F</v>
      </c>
      <c r="D427" s="53" t="str">
        <f ca="1">HYPERLINK("#" &amp; CELL("address", 'V1.50+V1.50-F'!$M$3), "SCA")</f>
        <v>SCA</v>
      </c>
      <c r="E427" s="53" t="str">
        <f ca="1">HYPERLINK("#" &amp; CELL("address", 'V1.50+V1.50-F'!$M$12), "Unattended terminal for transport fares or parking fees")</f>
        <v>Unattended terminal for transport fares or parking fees</v>
      </c>
      <c r="F427" s="49" t="str">
        <f>'V1.50+V1.50-F'!$N$12</f>
        <v>UNTE</v>
      </c>
      <c r="G427" s="53" t="str">
        <f ca="1">HYPERLINK("#" &amp; CELL("address", Concepts!$A$53), "Click here for definition")</f>
        <v>Click here for definition</v>
      </c>
    </row>
    <row r="428" spans="1:7" x14ac:dyDescent="0.2">
      <c r="A428">
        <v>427</v>
      </c>
      <c r="B428" t="s">
        <v>1534</v>
      </c>
      <c r="C428" s="53" t="str">
        <f ca="1">HYPERLINK("#" &amp; CELL("address", 'V1.50+V1.50-F'!$A$23), "V1.50-F")</f>
        <v>V1.50-F</v>
      </c>
      <c r="D428" s="53" t="str">
        <f ca="1">HYPERLINK("#" &amp; CELL("address", 'V1.50+V1.50-F'!$M$3), "SCA")</f>
        <v>SCA</v>
      </c>
      <c r="E428" s="53" t="str">
        <f ca="1">HYPERLINK("#" &amp; CELL("address", 'V1.50+V1.50-F'!$M$14), "Low value")</f>
        <v>Low value</v>
      </c>
      <c r="F428" s="49" t="str">
        <f>'V1.50+V1.50-F'!$N$14</f>
        <v>RLOW</v>
      </c>
      <c r="G428" s="53" t="str">
        <f ca="1">HYPERLINK("#" &amp; CELL("address", Concepts!$A$54), "Click here for definition")</f>
        <v>Click here for definition</v>
      </c>
    </row>
    <row r="429" spans="1:7" x14ac:dyDescent="0.2">
      <c r="A429">
        <v>428</v>
      </c>
      <c r="B429" t="s">
        <v>1534</v>
      </c>
      <c r="C429" s="53" t="str">
        <f ca="1">HYPERLINK("#" &amp; CELL("address", 'V1.50+V1.50-F'!$A$23), "V1.50-F")</f>
        <v>V1.50-F</v>
      </c>
      <c r="D429" s="53" t="str">
        <f ca="1">HYPERLINK("#" &amp; CELL("address", 'V1.50+V1.50-F'!$M$3), "SCA")</f>
        <v>SCA</v>
      </c>
      <c r="E429" s="53" t="str">
        <f ca="1">HYPERLINK("#" &amp; CELL("address", 'V1.50+V1.50-F'!$M$15), "Secure corporate payment processes and protocols")</f>
        <v>Secure corporate payment processes and protocols</v>
      </c>
      <c r="F429" s="49" t="str">
        <f>'V1.50+V1.50-F'!$N$15</f>
        <v>SECO</v>
      </c>
      <c r="G429" s="53" t="str">
        <f ca="1">HYPERLINK("#" &amp; CELL("address", Concepts!$A$55), "Click here for definition")</f>
        <v>Click here for definition</v>
      </c>
    </row>
    <row r="430" spans="1:7" x14ac:dyDescent="0.2">
      <c r="A430">
        <v>429</v>
      </c>
      <c r="B430" t="s">
        <v>1534</v>
      </c>
      <c r="C430" s="53" t="str">
        <f ca="1">HYPERLINK("#" &amp; CELL("address", 'V1.50+V1.50-F'!$A$23), "V1.50-F")</f>
        <v>V1.50-F</v>
      </c>
      <c r="D430" s="53" t="str">
        <f ca="1">HYPERLINK("#" &amp; CELL("address", 'V1.50+V1.50-F'!$M$3), "SCA")</f>
        <v>SCA</v>
      </c>
      <c r="E430" s="53" t="str">
        <f ca="1">HYPERLINK("#" &amp; CELL("address", 'V1.50+V1.50-F'!$M$16), "Transaction risk analysis")</f>
        <v>Transaction risk analysis</v>
      </c>
      <c r="F430" s="49" t="str">
        <f>'V1.50+V1.50-F'!$N$16</f>
        <v>RTRA</v>
      </c>
      <c r="G430" s="53" t="str">
        <f ca="1">HYPERLINK("#" &amp; CELL("address", Concepts!$A$56), "Click here for definition")</f>
        <v>Click here for definition</v>
      </c>
    </row>
    <row r="431" spans="1:7" x14ac:dyDescent="0.2">
      <c r="A431">
        <v>430</v>
      </c>
      <c r="B431" t="s">
        <v>1534</v>
      </c>
      <c r="C431" s="53" t="str">
        <f ca="1">HYPERLINK("#" &amp; CELL("address", 'V1.50+V1.50-F'!$A$23), "V1.50-F")</f>
        <v>V1.50-F</v>
      </c>
      <c r="D431" s="53" t="str">
        <f ca="1">HYPERLINK("#" &amp; CELL("address", 'V1.50+V1.50-F'!$M$3), "SCA")</f>
        <v>SCA</v>
      </c>
      <c r="E431" s="53" t="str">
        <f ca="1">HYPERLINK("#" &amp; CELL("address", 'V1.50+V1.50-F'!$M$17), "Merchant initiated transaction (MIT)")</f>
        <v>Merchant initiated transaction (MIT)</v>
      </c>
      <c r="F431" s="49" t="str">
        <f>'V1.50+V1.50-F'!$N$17</f>
        <v>MITR</v>
      </c>
      <c r="G431" s="53" t="str">
        <f ca="1">HYPERLINK("#" &amp; CELL("address", Concepts!$A$122), "Click here for definition")</f>
        <v>Click here for definition</v>
      </c>
    </row>
    <row r="432" spans="1:7" x14ac:dyDescent="0.2">
      <c r="A432">
        <v>431</v>
      </c>
      <c r="B432" t="s">
        <v>1534</v>
      </c>
      <c r="C432" s="53" t="str">
        <f ca="1">HYPERLINK("#" &amp; CELL("address", 'V1.50+V1.50-F'!$A$23), "V1.50-F")</f>
        <v>V1.50-F</v>
      </c>
      <c r="D432" s="53" t="str">
        <f ca="1">HYPERLINK("#" &amp; CELL("address", 'V1.50+V1.50-F'!$M$3), "SCA")</f>
        <v>SCA</v>
      </c>
      <c r="E432" s="53" t="str">
        <f ca="1">HYPERLINK("#" &amp; CELL("address", 'V1.50+V1.50-F'!$M$18), "Not applicable")</f>
        <v>Not applicable</v>
      </c>
      <c r="F432" s="49" t="str">
        <f>'V1.50+V1.50-F'!$N$18</f>
        <v>NOAP</v>
      </c>
      <c r="G432" s="53" t="str">
        <f ca="1">HYPERLINK("#" &amp; CELL("address", Concepts!$A$57), "Click here for definition")</f>
        <v>Click here for definition</v>
      </c>
    </row>
    <row r="433" spans="1:7" x14ac:dyDescent="0.2">
      <c r="A433">
        <v>432</v>
      </c>
      <c r="B433" t="s">
        <v>1534</v>
      </c>
      <c r="C433" s="53" t="str">
        <f ca="1">HYPERLINK("#" &amp; CELL("address", 'V1.50+V1.50-F'!$A$23), "V1.50-F")</f>
        <v>V1.50-F</v>
      </c>
      <c r="D433" s="53" t="str">
        <f ca="1">HYPERLINK("#" &amp; CELL("address", 'V1.50+V1.50-F'!$O$3), "Fraud type")</f>
        <v>Fraud type</v>
      </c>
      <c r="E433" s="53" t="str">
        <f ca="1">HYPERLINK("#" &amp; CELL("address", 'V1.50+V1.50-F'!$O$27), "Lost or Stolen card")</f>
        <v>Lost or Stolen card</v>
      </c>
      <c r="F433" s="49" t="str">
        <f>'V1.50+V1.50-F'!$P$27</f>
        <v>LSCA</v>
      </c>
      <c r="G433" s="53" t="str">
        <f ca="1">HYPERLINK("#" &amp; CELL("address", Concepts!$A$123), "Click here for definition")</f>
        <v>Click here for definition</v>
      </c>
    </row>
    <row r="434" spans="1:7" x14ac:dyDescent="0.2">
      <c r="A434">
        <v>433</v>
      </c>
      <c r="B434" t="s">
        <v>1534</v>
      </c>
      <c r="C434" s="53" t="str">
        <f ca="1">HYPERLINK("#" &amp; CELL("address", 'V1.50+V1.50-F'!$A$23), "V1.50-F")</f>
        <v>V1.50-F</v>
      </c>
      <c r="D434" s="53" t="str">
        <f ca="1">HYPERLINK("#" &amp; CELL("address", 'V1.50+V1.50-F'!$O$3), "Fraud type")</f>
        <v>Fraud type</v>
      </c>
      <c r="E434" s="53" t="str">
        <f ca="1">HYPERLINK("#" &amp; CELL("address", 'V1.50+V1.50-F'!$O$28), "Card Not Received")</f>
        <v>Card Not Received</v>
      </c>
      <c r="F434" s="49" t="str">
        <f>'V1.50+V1.50-F'!$P$28</f>
        <v>NRCA</v>
      </c>
      <c r="G434" s="53" t="str">
        <f ca="1">HYPERLINK("#" &amp; CELL("address", Concepts!$A$125), "Click here for definition")</f>
        <v>Click here for definition</v>
      </c>
    </row>
    <row r="435" spans="1:7" x14ac:dyDescent="0.2">
      <c r="A435">
        <v>434</v>
      </c>
      <c r="B435" t="s">
        <v>1534</v>
      </c>
      <c r="C435" s="53" t="str">
        <f ca="1">HYPERLINK("#" &amp; CELL("address", 'V1.50+V1.50-F'!$A$23), "V1.50-F")</f>
        <v>V1.50-F</v>
      </c>
      <c r="D435" s="53" t="str">
        <f ca="1">HYPERLINK("#" &amp; CELL("address", 'V1.50+V1.50-F'!$O$3), "Fraud type")</f>
        <v>Fraud type</v>
      </c>
      <c r="E435" s="53" t="str">
        <f ca="1">HYPERLINK("#" &amp; CELL("address", 'V1.50+V1.50-F'!$O$29), "Counterfeit card")</f>
        <v>Counterfeit card</v>
      </c>
      <c r="F435" s="49" t="str">
        <f>'V1.50+V1.50-F'!$P$29</f>
        <v>CFCA</v>
      </c>
      <c r="G435" s="53" t="str">
        <f ca="1">HYPERLINK("#" &amp; CELL("address", Concepts!$A$127), "Click here for definition")</f>
        <v>Click here for definition</v>
      </c>
    </row>
    <row r="436" spans="1:7" x14ac:dyDescent="0.2">
      <c r="A436">
        <v>435</v>
      </c>
      <c r="B436" t="s">
        <v>1534</v>
      </c>
      <c r="C436" s="53" t="str">
        <f ca="1">HYPERLINK("#" &amp; CELL("address", 'V1.50+V1.50-F'!$A$23), "V1.50-F")</f>
        <v>V1.50-F</v>
      </c>
      <c r="D436" s="53" t="str">
        <f ca="1">HYPERLINK("#" &amp; CELL("address", 'V1.50+V1.50-F'!$O$3), "Fraud type")</f>
        <v>Fraud type</v>
      </c>
      <c r="E436" s="53" t="str">
        <f ca="1">HYPERLINK("#" &amp; CELL("address", 'V1.50+V1.50-F'!$O$30), "Other")</f>
        <v>Other</v>
      </c>
      <c r="F436" s="49" t="str">
        <f>'V1.50+V1.50-F'!$P$30</f>
        <v>OTHR</v>
      </c>
      <c r="G436" s="53"/>
    </row>
    <row r="437" spans="1:7" x14ac:dyDescent="0.2">
      <c r="A437">
        <v>436</v>
      </c>
      <c r="B437" t="s">
        <v>1534</v>
      </c>
      <c r="C437" s="53" t="str">
        <f ca="1">HYPERLINK("#" &amp; CELL("address", 'V1.50+V1.50-F'!$A$23), "V1.50-F")</f>
        <v>V1.50-F</v>
      </c>
      <c r="D437" s="53" t="str">
        <f ca="1">HYPERLINK("#" &amp; CELL("address", 'V1.50+V1.50-F'!$O$3), "Fraud type")</f>
        <v>Fraud type</v>
      </c>
      <c r="E437" s="53" t="str">
        <f ca="1">HYPERLINK("#" &amp; CELL("address", 'V1.50+V1.50-F'!$O$31), "Modification of a payment order by the fraudster")</f>
        <v>Modification of a payment order by the fraudster</v>
      </c>
      <c r="F437" s="49" t="str">
        <f>'V1.50+V1.50-F'!$P$31</f>
        <v>MODF</v>
      </c>
      <c r="G437" s="53" t="str">
        <f ca="1">HYPERLINK("#" &amp; CELL("address", Concepts!$A$61), "Click here for definition")</f>
        <v>Click here for definition</v>
      </c>
    </row>
    <row r="438" spans="1:7" x14ac:dyDescent="0.2">
      <c r="A438">
        <v>437</v>
      </c>
      <c r="B438" t="s">
        <v>1534</v>
      </c>
      <c r="C438" s="53" t="str">
        <f ca="1">HYPERLINK("#" &amp; CELL("address", 'V1.50+V1.50-F'!$A$23), "V1.50-F")</f>
        <v>V1.50-F</v>
      </c>
      <c r="D438" s="53" t="str">
        <f ca="1">HYPERLINK("#" &amp; CELL("address", 'V1.50+V1.50-F'!$O$3), "Fraud type")</f>
        <v>Fraud type</v>
      </c>
      <c r="E438" s="53" t="str">
        <f ca="1">HYPERLINK("#" &amp; CELL("address", 'V1.50+V1.50-F'!$O$32), "Manipulation of the payer to make a card payment/cash withdrawal")</f>
        <v>Manipulation of the payer to make a card payment/cash withdrawal</v>
      </c>
      <c r="F438" s="49" t="str">
        <f>'V1.50+V1.50-F'!$P$32</f>
        <v>MNCP</v>
      </c>
      <c r="G438" s="53" t="str">
        <f ca="1">HYPERLINK("#" &amp; CELL("address", Concepts!$A$64), "Click here for definition")</f>
        <v>Click here for definition</v>
      </c>
    </row>
    <row r="439" spans="1:7" x14ac:dyDescent="0.2">
      <c r="A439">
        <v>438</v>
      </c>
      <c r="B439" t="s">
        <v>1534</v>
      </c>
      <c r="C439" s="53" t="str">
        <f ca="1">HYPERLINK("#" &amp; CELL("address", 'V1.50+V1.50-F'!$A$23), "V1.50-F")</f>
        <v>V1.50-F</v>
      </c>
      <c r="D439" s="53" t="str">
        <f ca="1">HYPERLINK("#" &amp; CELL("address", 'V1.50+V1.50-F'!$O$3), "Fraud type")</f>
        <v>Fraud type</v>
      </c>
      <c r="E439" s="53" t="str">
        <f ca="1">HYPERLINK("#" &amp; CELL("address", 'V1.50+V1.50-F'!$O$35), "Card details theft")</f>
        <v>Card details theft</v>
      </c>
      <c r="F439" s="49" t="str">
        <f>'V1.50+V1.50-F'!$P$35</f>
        <v>CATH</v>
      </c>
      <c r="G439" s="53" t="str">
        <f ca="1">HYPERLINK("#" &amp; CELL("address", Concepts!$A$129), "Click here for definition")</f>
        <v>Click here for definition</v>
      </c>
    </row>
    <row r="440" spans="1:7" x14ac:dyDescent="0.2">
      <c r="A440">
        <v>439</v>
      </c>
      <c r="B440" t="s">
        <v>1534</v>
      </c>
      <c r="C440" s="53" t="str">
        <f ca="1">HYPERLINK("#" &amp; CELL("address", 'V1.50+V1.50-F'!$A$23), "V1.50-F")</f>
        <v>V1.50-F</v>
      </c>
      <c r="D440" s="53" t="str">
        <f ca="1">HYPERLINK("#" &amp; CELL("address", 'V1.50+V1.50-F'!$Q$3), "Country of acquirer")</f>
        <v>Country of acquirer</v>
      </c>
      <c r="E440" s="53" t="str">
        <f ca="1">HYPERLINK("#" &amp; CELL("address", 'V1.50+V1.50-F'!$Q$4), "2-letter ISO 3166 country code")</f>
        <v>2-letter ISO 3166 country code</v>
      </c>
      <c r="F440" s="49" t="str">
        <f>'V1.50+V1.50-F'!$R$4</f>
        <v>[Geo]</v>
      </c>
      <c r="G440" s="53" t="str">
        <f ca="1">HYPERLINK("#" &amp; CELL("address", Concepts!$A$145), "Click here for definition")</f>
        <v>Click here for definition</v>
      </c>
    </row>
    <row r="441" spans="1:7" x14ac:dyDescent="0.2">
      <c r="A441">
        <v>440</v>
      </c>
      <c r="B441" t="s">
        <v>1534</v>
      </c>
      <c r="C441" s="53" t="str">
        <f ca="1">HYPERLINK("#" &amp; CELL("address", 'V1.50+V1.50-F'!$A$23), "V1.50-F")</f>
        <v>V1.50-F</v>
      </c>
      <c r="D441" s="53" t="str">
        <f ca="1">HYPERLINK("#" &amp; CELL("address", 'V1.50+V1.50-F'!$S$3), "Country of terminal")</f>
        <v>Country of terminal</v>
      </c>
      <c r="E441" s="53" t="str">
        <f ca="1">HYPERLINK("#" &amp; CELL("address", 'V1.50+V1.50-F'!$S$4), "2-letter ISO 3166 country code")</f>
        <v>2-letter ISO 3166 country code</v>
      </c>
      <c r="F441" s="49" t="str">
        <f>'V1.50+V1.50-F'!$T$4</f>
        <v>[Geo]</v>
      </c>
      <c r="G441" s="53" t="str">
        <f ca="1">HYPERLINK("#" &amp; CELL("address", Concepts!$A$145), "Click here for definition")</f>
        <v>Click here for definition</v>
      </c>
    </row>
    <row r="442" spans="1:7" x14ac:dyDescent="0.2">
      <c r="A442">
        <v>441</v>
      </c>
      <c r="B442" t="s">
        <v>1534</v>
      </c>
      <c r="C442" s="53" t="str">
        <f ca="1">HYPERLINK("#" &amp; CELL("address", 'V1.50+V1.50-F'!$A$23), "V1.50-F")</f>
        <v>V1.50-F</v>
      </c>
      <c r="D442" s="53" t="str">
        <f ca="1">HYPERLINK("#" &amp; CELL("address", 'V1.50+V1.50-F'!$U$3), "Currency")</f>
        <v>Currency</v>
      </c>
      <c r="E442" s="53" t="str">
        <f ca="1">HYPERLINK("#" &amp; CELL("address", 'V1.50+V1.50-F'!$U$4), "3-letter ISO 4217 currency code")</f>
        <v>3-letter ISO 4217 currency code</v>
      </c>
      <c r="F442" s="49" t="str">
        <f>'V1.50+V1.50-F'!$V$4</f>
        <v>[Currency]</v>
      </c>
      <c r="G442" s="53" t="str">
        <f ca="1">HYPERLINK("#" &amp; CELL("address", Concepts!$A$146), "Click here for definition")</f>
        <v>Click here for definition</v>
      </c>
    </row>
    <row r="443" spans="1:7" x14ac:dyDescent="0.2">
      <c r="A443">
        <v>442</v>
      </c>
      <c r="B443" t="s">
        <v>1534</v>
      </c>
      <c r="C443" s="53" t="str">
        <f ca="1">HYPERLINK("#" &amp; CELL("address", 'V1.50+V1.50-F'!$A$23), "V1.50-F")</f>
        <v>V1.50-F</v>
      </c>
      <c r="D443" s="53" t="str">
        <f ca="1">HYPERLINK("#" &amp; CELL("address", 'V1.50+V1.50-F'!$W$3), "Metric")</f>
        <v>Metric</v>
      </c>
      <c r="E443" s="53" t="str">
        <f ca="1">HYPERLINK("#" &amp; CELL("address", 'V1.50+V1.50-F'!$W$4), "Number of transactions")</f>
        <v>Number of transactions</v>
      </c>
      <c r="F443" s="49" t="str">
        <f>'V1.50+V1.50-F'!$X$4</f>
        <v>VOLU</v>
      </c>
      <c r="G443" s="53" t="str">
        <f ca="1">HYPERLINK("#" &amp; CELL("address", Concepts!$A$147), "Click here for definition")</f>
        <v>Click here for definition</v>
      </c>
    </row>
    <row r="444" spans="1:7" x14ac:dyDescent="0.2">
      <c r="A444">
        <v>443</v>
      </c>
      <c r="B444" t="s">
        <v>1534</v>
      </c>
      <c r="C444" s="53" t="str">
        <f ca="1">HYPERLINK("#" &amp; CELL("address", 'V1.50+V1.50-F'!$A$23), "V1.50-F")</f>
        <v>V1.50-F</v>
      </c>
      <c r="D444" s="53" t="str">
        <f ca="1">HYPERLINK("#" &amp; CELL("address", 'V1.50+V1.50-F'!$W$3), "Metric")</f>
        <v>Metric</v>
      </c>
      <c r="E444" s="53" t="str">
        <f ca="1">HYPERLINK("#" &amp; CELL("address", 'V1.50+V1.50-F'!$W$5), "Value of transactions")</f>
        <v>Value of transactions</v>
      </c>
      <c r="F444" s="49" t="str">
        <f>'V1.50+V1.50-F'!$X$5</f>
        <v>VALE</v>
      </c>
      <c r="G444" s="53" t="str">
        <f ca="1">HYPERLINK("#" &amp; CELL("address", Concepts!$A$148), "Click here for definition")</f>
        <v>Click here for definition</v>
      </c>
    </row>
    <row r="445" spans="1:7" x14ac:dyDescent="0.2">
      <c r="A445">
        <v>444</v>
      </c>
      <c r="B445" t="s">
        <v>1099</v>
      </c>
      <c r="C445" s="53" t="str">
        <f ca="1">HYPERLINK("#" &amp; CELL("address", 'V1.51'!$A$2), "V1.51")</f>
        <v>V1.51</v>
      </c>
      <c r="D445" s="53" t="str">
        <f ca="1">HYPERLINK("#" &amp; CELL("address", 'V1.51'!$A$3), "Initiation sub-channel")</f>
        <v>Initiation sub-channel</v>
      </c>
      <c r="E445" s="53" t="str">
        <f ca="1">HYPERLINK("#" &amp; CELL("address", 'V1.51'!$A$4), "Remote")</f>
        <v>Remote</v>
      </c>
      <c r="F445" s="49" t="str">
        <f>'V1.51'!$B$4</f>
        <v>REM1</v>
      </c>
      <c r="G445" s="53" t="str">
        <f ca="1">HYPERLINK("#" &amp; CELL("address", Concepts!$A$43), "Click here for definition")</f>
        <v>Click here for definition</v>
      </c>
    </row>
    <row r="446" spans="1:7" x14ac:dyDescent="0.2">
      <c r="A446">
        <v>445</v>
      </c>
      <c r="B446" t="s">
        <v>1099</v>
      </c>
      <c r="C446" s="53" t="str">
        <f ca="1">HYPERLINK("#" &amp; CELL("address", 'V1.51'!$A$2), "V1.51")</f>
        <v>V1.51</v>
      </c>
      <c r="D446" s="53" t="str">
        <f ca="1">HYPERLINK("#" &amp; CELL("address", 'V1.51'!$A$3), "Initiation sub-channel")</f>
        <v>Initiation sub-channel</v>
      </c>
      <c r="E446" s="53" t="str">
        <f ca="1">HYPERLINK("#" &amp; CELL("address", 'V1.51'!$A$5), "Non-remote")</f>
        <v>Non-remote</v>
      </c>
      <c r="F446" s="49" t="str">
        <f>'V1.51'!$B$5</f>
        <v>REM0</v>
      </c>
      <c r="G446" s="53" t="str">
        <f ca="1">HYPERLINK("#" &amp; CELL("address", Concepts!$A$44), "Click here for definition")</f>
        <v>Click here for definition</v>
      </c>
    </row>
    <row r="447" spans="1:7" x14ac:dyDescent="0.2">
      <c r="A447">
        <v>446</v>
      </c>
      <c r="B447" t="s">
        <v>1099</v>
      </c>
      <c r="C447" s="53" t="str">
        <f ca="1">HYPERLINK("#" &amp; CELL("address", 'V1.51'!$A$2), "V1.51")</f>
        <v>V1.51</v>
      </c>
      <c r="D447" s="53" t="str">
        <f ca="1">HYPERLINK("#" &amp; CELL("address", 'V1.51'!$C$3), "Operation type")</f>
        <v>Operation type</v>
      </c>
      <c r="E447" s="53" t="str">
        <f ca="1">HYPERLINK("#" &amp; CELL("address", 'V1.51'!$C$4), "Sales")</f>
        <v>Sales</v>
      </c>
      <c r="F447" s="49" t="str">
        <f>'V1.51'!$D$4</f>
        <v>SALE</v>
      </c>
      <c r="G447" s="53" t="str">
        <f ca="1">HYPERLINK("#" &amp; CELL("address", Concepts!$A$111), "Click here for definition")</f>
        <v>Click here for definition</v>
      </c>
    </row>
    <row r="448" spans="1:7" x14ac:dyDescent="0.2">
      <c r="A448">
        <v>447</v>
      </c>
      <c r="B448" t="s">
        <v>1099</v>
      </c>
      <c r="C448" s="53" t="str">
        <f ca="1">HYPERLINK("#" &amp; CELL("address", 'V1.51'!$A$2), "V1.51")</f>
        <v>V1.51</v>
      </c>
      <c r="D448" s="53" t="str">
        <f ca="1">HYPERLINK("#" &amp; CELL("address", 'V1.51'!$E$3), "MCC")</f>
        <v>MCC</v>
      </c>
      <c r="E448" s="53" t="str">
        <f ca="1">HYPERLINK("#" &amp; CELL("address", 'V1.51'!$E$4), "Merchant category code")</f>
        <v>Merchant category code</v>
      </c>
      <c r="F448" s="49" t="str">
        <f>'V1.51'!$F$4</f>
        <v>[MCC]</v>
      </c>
      <c r="G448" s="53" t="str">
        <f ca="1">HYPERLINK("#" &amp; CELL("address", Concepts!$A$130), "Click here for definition")</f>
        <v>Click here for definition</v>
      </c>
    </row>
    <row r="449" spans="1:7" x14ac:dyDescent="0.2">
      <c r="A449">
        <v>448</v>
      </c>
      <c r="B449" t="s">
        <v>1099</v>
      </c>
      <c r="C449" s="53" t="str">
        <f ca="1">HYPERLINK("#" &amp; CELL("address", 'V1.51'!$A$2), "V1.51")</f>
        <v>V1.51</v>
      </c>
      <c r="D449" s="53" t="str">
        <f ca="1">HYPERLINK("#" &amp; CELL("address", 'V1.51'!$G$3), "Country of terminal")</f>
        <v>Country of terminal</v>
      </c>
      <c r="E449" s="53" t="str">
        <f ca="1">HYPERLINK("#" &amp; CELL("address", 'V1.51'!$G$4), "2-letter ISO 3166 country code")</f>
        <v>2-letter ISO 3166 country code</v>
      </c>
      <c r="F449" s="49" t="str">
        <f>'V1.51'!$H$4</f>
        <v>[Geo]</v>
      </c>
      <c r="G449" s="53" t="str">
        <f ca="1">HYPERLINK("#" &amp; CELL("address", Concepts!$A$145), "Click here for definition")</f>
        <v>Click here for definition</v>
      </c>
    </row>
    <row r="450" spans="1:7" x14ac:dyDescent="0.2">
      <c r="A450">
        <v>449</v>
      </c>
      <c r="B450" t="s">
        <v>1099</v>
      </c>
      <c r="C450" s="53" t="str">
        <f ca="1">HYPERLINK("#" &amp; CELL("address", 'V1.51'!$A$2), "V1.51")</f>
        <v>V1.51</v>
      </c>
      <c r="D450" s="53" t="str">
        <f ca="1">HYPERLINK("#" &amp; CELL("address", 'V1.51'!$I$3), "Metric")</f>
        <v>Metric</v>
      </c>
      <c r="E450" s="53" t="str">
        <f ca="1">HYPERLINK("#" &amp; CELL("address", 'V1.51'!$I$4), "Number of transactions")</f>
        <v>Number of transactions</v>
      </c>
      <c r="F450" s="49" t="str">
        <f>'V1.51'!$J$4</f>
        <v>VOLU</v>
      </c>
      <c r="G450" s="53" t="str">
        <f ca="1">HYPERLINK("#" &amp; CELL("address", Concepts!$A$147), "Click here for definition")</f>
        <v>Click here for definition</v>
      </c>
    </row>
    <row r="451" spans="1:7" x14ac:dyDescent="0.2">
      <c r="A451">
        <v>450</v>
      </c>
      <c r="B451" t="s">
        <v>1099</v>
      </c>
      <c r="C451" s="53" t="str">
        <f ca="1">HYPERLINK("#" &amp; CELL("address", 'V1.51'!$A$2), "V1.51")</f>
        <v>V1.51</v>
      </c>
      <c r="D451" s="53" t="str">
        <f ca="1">HYPERLINK("#" &amp; CELL("address", 'V1.51'!$I$3), "Metric")</f>
        <v>Metric</v>
      </c>
      <c r="E451" s="53" t="str">
        <f ca="1">HYPERLINK("#" &amp; CELL("address", 'V1.51'!$I$5), "Value of transactions")</f>
        <v>Value of transactions</v>
      </c>
      <c r="F451" s="49" t="str">
        <f>'V1.51'!$J$5</f>
        <v>VALE</v>
      </c>
      <c r="G451" s="53" t="str">
        <f ca="1">HYPERLINK("#" &amp; CELL("address", Concepts!$A$148), "Click here for definition")</f>
        <v>Click here for definition</v>
      </c>
    </row>
    <row r="452" spans="1:7" x14ac:dyDescent="0.2">
      <c r="A452">
        <v>451</v>
      </c>
      <c r="B452" t="s">
        <v>1535</v>
      </c>
      <c r="C452" s="53" t="str">
        <f ca="1">HYPERLINK("#" &amp; CELL("address", 'V1.52+V1.52-F'!$A$2), "V1.52")</f>
        <v>V1.52</v>
      </c>
      <c r="D452" s="53" t="str">
        <f ca="1">HYPERLINK("#" &amp; CELL("address", 'V1.52+V1.52-F'!$A$3), "Payment card type")</f>
        <v>Payment card type</v>
      </c>
      <c r="E452" s="53" t="str">
        <f ca="1">HYPERLINK("#" &amp; CELL("address", 'V1.52+V1.52-F'!$A$4), "Debit card")</f>
        <v>Debit card</v>
      </c>
      <c r="F452" s="49" t="str">
        <f>'V1.52+V1.52-F'!$B$4</f>
        <v>DECA</v>
      </c>
      <c r="G452" s="53" t="str">
        <f ca="1">HYPERLINK("#" &amp; CELL("address", Concepts!$A$95), "Click here for definition")</f>
        <v>Click here for definition</v>
      </c>
    </row>
    <row r="453" spans="1:7" x14ac:dyDescent="0.2">
      <c r="A453">
        <v>452</v>
      </c>
      <c r="B453" t="s">
        <v>1535</v>
      </c>
      <c r="C453" s="53" t="str">
        <f ca="1">HYPERLINK("#" &amp; CELL("address", 'V1.52+V1.52-F'!$A$2), "V1.52")</f>
        <v>V1.52</v>
      </c>
      <c r="D453" s="53" t="str">
        <f ca="1">HYPERLINK("#" &amp; CELL("address", 'V1.52+V1.52-F'!$A$3), "Payment card type")</f>
        <v>Payment card type</v>
      </c>
      <c r="E453" s="53" t="str">
        <f ca="1">HYPERLINK("#" &amp; CELL("address", 'V1.52+V1.52-F'!$A$5), "Delayed debit card")</f>
        <v>Delayed debit card</v>
      </c>
      <c r="F453" s="49" t="str">
        <f>'V1.52+V1.52-F'!$B$5</f>
        <v>DDCA</v>
      </c>
      <c r="G453" s="53" t="str">
        <f ca="1">HYPERLINK("#" &amp; CELL("address", Concepts!$A$96), "Click here for definition")</f>
        <v>Click here for definition</v>
      </c>
    </row>
    <row r="454" spans="1:7" x14ac:dyDescent="0.2">
      <c r="A454">
        <v>453</v>
      </c>
      <c r="B454" t="s">
        <v>1535</v>
      </c>
      <c r="C454" s="53" t="str">
        <f ca="1">HYPERLINK("#" &amp; CELL("address", 'V1.52+V1.52-F'!$A$2), "V1.52")</f>
        <v>V1.52</v>
      </c>
      <c r="D454" s="53" t="str">
        <f ca="1">HYPERLINK("#" &amp; CELL("address", 'V1.52+V1.52-F'!$A$3), "Payment card type")</f>
        <v>Payment card type</v>
      </c>
      <c r="E454" s="53" t="str">
        <f ca="1">HYPERLINK("#" &amp; CELL("address", 'V1.52+V1.52-F'!$A$6), "Credit card")</f>
        <v>Credit card</v>
      </c>
      <c r="F454" s="49" t="str">
        <f>'V1.52+V1.52-F'!$B$6</f>
        <v>CRCA</v>
      </c>
      <c r="G454" s="53" t="str">
        <f ca="1">HYPERLINK("#" &amp; CELL("address", Concepts!$A$97), "Click here for definition")</f>
        <v>Click here for definition</v>
      </c>
    </row>
    <row r="455" spans="1:7" x14ac:dyDescent="0.2">
      <c r="A455">
        <v>454</v>
      </c>
      <c r="B455" t="s">
        <v>1535</v>
      </c>
      <c r="C455" s="53" t="str">
        <f ca="1">HYPERLINK("#" &amp; CELL("address", 'V1.52+V1.52-F'!$A$2), "V1.52")</f>
        <v>V1.52</v>
      </c>
      <c r="D455" s="53" t="str">
        <f ca="1">HYPERLINK("#" &amp; CELL("address", 'V1.52+V1.52-F'!$A$3), "Payment card type")</f>
        <v>Payment card type</v>
      </c>
      <c r="E455" s="53" t="str">
        <f ca="1">HYPERLINK("#" &amp; CELL("address", 'V1.52+V1.52-F'!$A$7), "Mixed card (debit+credit)")</f>
        <v>Mixed card (debit+credit)</v>
      </c>
      <c r="F455" s="49" t="str">
        <f>'V1.52+V1.52-F'!$B$7</f>
        <v>MXCA</v>
      </c>
      <c r="G455" s="53" t="str">
        <f ca="1">HYPERLINK("#" &amp; CELL("address", Concepts!$A$98), "Click here for definition")</f>
        <v>Click here for definition</v>
      </c>
    </row>
    <row r="456" spans="1:7" x14ac:dyDescent="0.2">
      <c r="A456">
        <v>455</v>
      </c>
      <c r="B456" t="s">
        <v>1535</v>
      </c>
      <c r="C456" s="53" t="str">
        <f ca="1">HYPERLINK("#" &amp; CELL("address", 'V1.52+V1.52-F'!$A$2), "V1.52")</f>
        <v>V1.52</v>
      </c>
      <c r="D456" s="53" t="str">
        <f ca="1">HYPERLINK("#" &amp; CELL("address", 'V1.52+V1.52-F'!$A$3), "Payment card type")</f>
        <v>Payment card type</v>
      </c>
      <c r="E456" s="53" t="str">
        <f ca="1">HYPERLINK("#" &amp; CELL("address", 'V1.52+V1.52-F'!$A$8), "Prepaid card")</f>
        <v>Prepaid card</v>
      </c>
      <c r="F456" s="49" t="str">
        <f>'V1.52+V1.52-F'!$B$8</f>
        <v>PRCA</v>
      </c>
      <c r="G456" s="53" t="str">
        <f ca="1">HYPERLINK("#" &amp; CELL("address", Concepts!$A$99), "Click here for definition")</f>
        <v>Click here for definition</v>
      </c>
    </row>
    <row r="457" spans="1:7" x14ac:dyDescent="0.2">
      <c r="A457">
        <v>456</v>
      </c>
      <c r="B457" t="s">
        <v>1535</v>
      </c>
      <c r="C457" s="53" t="str">
        <f ca="1">HYPERLINK("#" &amp; CELL("address", 'V1.52+V1.52-F'!$A$2), "V1.52")</f>
        <v>V1.52</v>
      </c>
      <c r="D457" s="53" t="str">
        <f ca="1">HYPERLINK("#" &amp; CELL("address", 'V1.52+V1.52-F'!$A$3), "Payment card type")</f>
        <v>Payment card type</v>
      </c>
      <c r="E457" s="53" t="str">
        <f ca="1">HYPERLINK("#" &amp; CELL("address", 'V1.52+V1.52-F'!$A$9), "Cards which give access to e-money stored on a software based e-money account")</f>
        <v>Cards which give access to e-money stored on a software based e-money account</v>
      </c>
      <c r="F457" s="49" t="str">
        <f>'V1.52+V1.52-F'!$B$9</f>
        <v>E1CA</v>
      </c>
      <c r="G457" s="53" t="str">
        <f ca="1">HYPERLINK("#" &amp; CELL("address", Concepts!$A$182), "Click here for definition")</f>
        <v>Click here for definition</v>
      </c>
    </row>
    <row r="458" spans="1:7" x14ac:dyDescent="0.2">
      <c r="A458">
        <v>457</v>
      </c>
      <c r="B458" t="s">
        <v>1535</v>
      </c>
      <c r="C458" s="53" t="str">
        <f ca="1">HYPERLINK("#" &amp; CELL("address", 'V1.52+V1.52-F'!$A$2), "V1.52")</f>
        <v>V1.52</v>
      </c>
      <c r="D458" s="53" t="str">
        <f ca="1">HYPERLINK("#" &amp; CELL("address", 'V1.52+V1.52-F'!$A$3), "Payment card type")</f>
        <v>Payment card type</v>
      </c>
      <c r="E458" s="53" t="str">
        <f ca="1">HYPERLINK("#" &amp; CELL("address", 'V1.52+V1.52-F'!$A$10), "One-off card")</f>
        <v>One-off card</v>
      </c>
      <c r="F458" s="49" t="str">
        <f>'V1.52+V1.52-F'!$B$10</f>
        <v>ONCA</v>
      </c>
      <c r="G458" s="53" t="str">
        <f ca="1">HYPERLINK("#" &amp; CELL("address", Concepts!$A$100), "Click here for definition")</f>
        <v>Click here for definition</v>
      </c>
    </row>
    <row r="459" spans="1:7" x14ac:dyDescent="0.2">
      <c r="A459">
        <v>458</v>
      </c>
      <c r="B459" t="s">
        <v>1535</v>
      </c>
      <c r="C459" s="53" t="str">
        <f ca="1">HYPERLINK("#" &amp; CELL("address", 'V1.52+V1.52-F'!$A$2), "V1.52")</f>
        <v>V1.52</v>
      </c>
      <c r="D459" s="53" t="str">
        <f ca="1">HYPERLINK("#" &amp; CELL("address", 'V1.52+V1.52-F'!$A$3), "Payment card type")</f>
        <v>Payment card type</v>
      </c>
      <c r="E459" s="53" t="str">
        <f ca="1">HYPERLINK("#" &amp; CELL("address", 'V1.52+V1.52-F'!$A$11), "Other")</f>
        <v>Other</v>
      </c>
      <c r="F459" s="49" t="str">
        <f>'V1.52+V1.52-F'!$B$11</f>
        <v>OTHR</v>
      </c>
      <c r="G459" s="53" t="str">
        <f ca="1">HYPERLINK("#" &amp; CELL("address", Concepts!$A$101), "Click here for definition")</f>
        <v>Click here for definition</v>
      </c>
    </row>
    <row r="460" spans="1:7" x14ac:dyDescent="0.2">
      <c r="A460">
        <v>459</v>
      </c>
      <c r="B460" t="s">
        <v>1535</v>
      </c>
      <c r="C460" s="53" t="str">
        <f ca="1">HYPERLINK("#" &amp; CELL("address", 'V1.52+V1.52-F'!$A$2), "V1.52")</f>
        <v>V1.52</v>
      </c>
      <c r="D460" s="53" t="str">
        <f ca="1">HYPERLINK("#" &amp; CELL("address", 'V1.52+V1.52-F'!$C$3), "Payment card scheme")</f>
        <v>Payment card scheme</v>
      </c>
      <c r="E460" s="53" t="str">
        <f ca="1">HYPERLINK("#" &amp; CELL("address", 'V1.52+V1.52-F'!$C$4), "Mastercard")</f>
        <v>Mastercard</v>
      </c>
      <c r="F460" s="49" t="str">
        <f>'V1.52+V1.52-F'!$D$4</f>
        <v>MSTR</v>
      </c>
      <c r="G460" s="53"/>
    </row>
    <row r="461" spans="1:7" x14ac:dyDescent="0.2">
      <c r="A461">
        <v>460</v>
      </c>
      <c r="B461" t="s">
        <v>1535</v>
      </c>
      <c r="C461" s="53" t="str">
        <f ca="1">HYPERLINK("#" &amp; CELL("address", 'V1.52+V1.52-F'!$A$2), "V1.52")</f>
        <v>V1.52</v>
      </c>
      <c r="D461" s="53" t="str">
        <f ca="1">HYPERLINK("#" &amp; CELL("address", 'V1.52+V1.52-F'!$C$3), "Payment card scheme")</f>
        <v>Payment card scheme</v>
      </c>
      <c r="E461" s="53" t="str">
        <f ca="1">HYPERLINK("#" &amp; CELL("address", 'V1.52+V1.52-F'!$C$5), "VISA - Vpay")</f>
        <v>VISA - Vpay</v>
      </c>
      <c r="F461" s="49" t="str">
        <f>'V1.52+V1.52-F'!$D$5</f>
        <v>VPAY</v>
      </c>
      <c r="G461" s="53"/>
    </row>
    <row r="462" spans="1:7" x14ac:dyDescent="0.2">
      <c r="A462">
        <v>461</v>
      </c>
      <c r="B462" t="s">
        <v>1535</v>
      </c>
      <c r="C462" s="53" t="str">
        <f ca="1">HYPERLINK("#" &amp; CELL("address", 'V1.52+V1.52-F'!$A$2), "V1.52")</f>
        <v>V1.52</v>
      </c>
      <c r="D462" s="53" t="str">
        <f ca="1">HYPERLINK("#" &amp; CELL("address", 'V1.52+V1.52-F'!$C$3), "Payment card scheme")</f>
        <v>Payment card scheme</v>
      </c>
      <c r="E462" s="53" t="str">
        <f ca="1">HYPERLINK("#" &amp; CELL("address", 'V1.52+V1.52-F'!$C$6), "VISA")</f>
        <v>VISA</v>
      </c>
      <c r="F462" s="49" t="str">
        <f>'V1.52+V1.52-F'!$D$6</f>
        <v>VISA</v>
      </c>
      <c r="G462" s="53"/>
    </row>
    <row r="463" spans="1:7" x14ac:dyDescent="0.2">
      <c r="A463">
        <v>462</v>
      </c>
      <c r="B463" t="s">
        <v>1535</v>
      </c>
      <c r="C463" s="53" t="str">
        <f ca="1">HYPERLINK("#" &amp; CELL("address", 'V1.52+V1.52-F'!$A$2), "V1.52")</f>
        <v>V1.52</v>
      </c>
      <c r="D463" s="53" t="str">
        <f ca="1">HYPERLINK("#" &amp; CELL("address", 'V1.52+V1.52-F'!$C$3), "Payment card scheme")</f>
        <v>Payment card scheme</v>
      </c>
      <c r="E463" s="53" t="str">
        <f ca="1">HYPERLINK("#" &amp; CELL("address", 'V1.52+V1.52-F'!$C$7), "China UnionPay")</f>
        <v>China UnionPay</v>
      </c>
      <c r="F463" s="49" t="str">
        <f>'V1.52+V1.52-F'!$D$7</f>
        <v>CHUP</v>
      </c>
      <c r="G463" s="53"/>
    </row>
    <row r="464" spans="1:7" x14ac:dyDescent="0.2">
      <c r="A464">
        <v>463</v>
      </c>
      <c r="B464" t="s">
        <v>1535</v>
      </c>
      <c r="C464" s="53" t="str">
        <f ca="1">HYPERLINK("#" &amp; CELL("address", 'V1.52+V1.52-F'!$A$2), "V1.52")</f>
        <v>V1.52</v>
      </c>
      <c r="D464" s="53" t="str">
        <f ca="1">HYPERLINK("#" &amp; CELL("address", 'V1.52+V1.52-F'!$C$3), "Payment card scheme")</f>
        <v>Payment card scheme</v>
      </c>
      <c r="E464" s="53" t="str">
        <f ca="1">HYPERLINK("#" &amp; CELL("address", 'V1.52+V1.52-F'!$C$8), "Japan Credit Bureau (JCB)")</f>
        <v>Japan Credit Bureau (JCB)</v>
      </c>
      <c r="F464" s="49" t="str">
        <f>'V1.52+V1.52-F'!$D$8</f>
        <v>JCCB</v>
      </c>
      <c r="G464" s="53"/>
    </row>
    <row r="465" spans="1:7" x14ac:dyDescent="0.2">
      <c r="A465">
        <v>464</v>
      </c>
      <c r="B465" t="s">
        <v>1535</v>
      </c>
      <c r="C465" s="53" t="str">
        <f ca="1">HYPERLINK("#" &amp; CELL("address", 'V1.52+V1.52-F'!$A$2), "V1.52")</f>
        <v>V1.52</v>
      </c>
      <c r="D465" s="53" t="str">
        <f ca="1">HYPERLINK("#" &amp; CELL("address", 'V1.52+V1.52-F'!$C$3), "Payment card scheme")</f>
        <v>Payment card scheme</v>
      </c>
      <c r="E465" s="53" t="str">
        <f ca="1">HYPERLINK("#" &amp; CELL("address", 'V1.52+V1.52-F'!$C$9), "American Express")</f>
        <v>American Express</v>
      </c>
      <c r="F465" s="49" t="str">
        <f>'V1.52+V1.52-F'!$D$9</f>
        <v>AMEX</v>
      </c>
      <c r="G465" s="53"/>
    </row>
    <row r="466" spans="1:7" x14ac:dyDescent="0.2">
      <c r="A466">
        <v>465</v>
      </c>
      <c r="B466" t="s">
        <v>1535</v>
      </c>
      <c r="C466" s="53" t="str">
        <f ca="1">HYPERLINK("#" &amp; CELL("address", 'V1.52+V1.52-F'!$A$2), "V1.52")</f>
        <v>V1.52</v>
      </c>
      <c r="D466" s="53" t="str">
        <f ca="1">HYPERLINK("#" &amp; CELL("address", 'V1.52+V1.52-F'!$C$3), "Payment card scheme")</f>
        <v>Payment card scheme</v>
      </c>
      <c r="E466" s="53" t="str">
        <f ca="1">HYPERLINK("#" &amp; CELL("address", 'V1.52+V1.52-F'!$C$10), "Diner's club")</f>
        <v>Diner's club</v>
      </c>
      <c r="F466" s="49" t="str">
        <f>'V1.52+V1.52-F'!$D$10</f>
        <v>DICL</v>
      </c>
      <c r="G466" s="53"/>
    </row>
    <row r="467" spans="1:7" x14ac:dyDescent="0.2">
      <c r="A467">
        <v>466</v>
      </c>
      <c r="B467" t="s">
        <v>1535</v>
      </c>
      <c r="C467" s="53" t="str">
        <f ca="1">HYPERLINK("#" &amp; CELL("address", 'V1.52+V1.52-F'!$A$2), "V1.52")</f>
        <v>V1.52</v>
      </c>
      <c r="D467" s="53" t="str">
        <f ca="1">HYPERLINK("#" &amp; CELL("address", 'V1.52+V1.52-F'!$C$3), "Payment card scheme")</f>
        <v>Payment card scheme</v>
      </c>
      <c r="E467" s="53" t="str">
        <f ca="1">HYPERLINK("#" &amp; CELL("address", 'V1.52+V1.52-F'!$C$11), "Proprietary")</f>
        <v>Proprietary</v>
      </c>
      <c r="F467" s="49" t="str">
        <f>'V1.52+V1.52-F'!$D$11</f>
        <v>PROP</v>
      </c>
      <c r="G467" s="53" t="str">
        <f ca="1">HYPERLINK("#" &amp; CELL("address", Concepts!$A$104), "Click here for definition")</f>
        <v>Click here for definition</v>
      </c>
    </row>
    <row r="468" spans="1:7" x14ac:dyDescent="0.2">
      <c r="A468">
        <v>467</v>
      </c>
      <c r="B468" t="s">
        <v>1535</v>
      </c>
      <c r="C468" s="53" t="str">
        <f ca="1">HYPERLINK("#" &amp; CELL("address", 'V1.52+V1.52-F'!$A$2), "V1.52")</f>
        <v>V1.52</v>
      </c>
      <c r="D468" s="53" t="str">
        <f ca="1">HYPERLINK("#" &amp; CELL("address", 'V1.52+V1.52-F'!$C$3), "Payment card scheme")</f>
        <v>Payment card scheme</v>
      </c>
      <c r="E468" s="53" t="str">
        <f ca="1">HYPERLINK("#" &amp; CELL("address", 'V1.52+V1.52-F'!$C$12), "Other")</f>
        <v>Other</v>
      </c>
      <c r="F468" s="49" t="str">
        <f>'V1.52+V1.52-F'!$D$12</f>
        <v>OTHR</v>
      </c>
      <c r="G468" s="53"/>
    </row>
    <row r="469" spans="1:7" x14ac:dyDescent="0.2">
      <c r="A469">
        <v>468</v>
      </c>
      <c r="B469" t="s">
        <v>1535</v>
      </c>
      <c r="C469" s="53" t="str">
        <f ca="1">HYPERLINK("#" &amp; CELL("address", 'V1.52+V1.52-F'!$A$2), "V1.52")</f>
        <v>V1.52</v>
      </c>
      <c r="D469" s="53" t="str">
        <f ca="1">HYPERLINK("#" &amp; CELL("address", 'V1.52+V1.52-F'!$E$3), "Terminal type")</f>
        <v>Terminal type</v>
      </c>
      <c r="E469" s="53" t="str">
        <f ca="1">HYPERLINK("#" &amp; CELL("address", 'V1.52+V1.52-F'!$E$4), "ATM")</f>
        <v>ATM</v>
      </c>
      <c r="F469" s="49" t="str">
        <f>'V1.52+V1.52-F'!$F$4</f>
        <v>TATM</v>
      </c>
      <c r="G469" s="53" t="str">
        <f ca="1">HYPERLINK("#" &amp; CELL("address", Concepts!$A$105), "Click here for definition")</f>
        <v>Click here for definition</v>
      </c>
    </row>
    <row r="470" spans="1:7" x14ac:dyDescent="0.2">
      <c r="A470">
        <v>469</v>
      </c>
      <c r="B470" t="s">
        <v>1535</v>
      </c>
      <c r="C470" s="53" t="str">
        <f ca="1">HYPERLINK("#" &amp; CELL("address", 'V1.52+V1.52-F'!$A$2), "V1.52")</f>
        <v>V1.52</v>
      </c>
      <c r="D470" s="53" t="str">
        <f ca="1">HYPERLINK("#" &amp; CELL("address", 'V1.52+V1.52-F'!$E$3), "Terminal type")</f>
        <v>Terminal type</v>
      </c>
      <c r="E470" s="53" t="str">
        <f ca="1">HYPERLINK("#" &amp; CELL("address", 'V1.52+V1.52-F'!$E$6), "EFTPOS")</f>
        <v>EFTPOS</v>
      </c>
      <c r="F470" s="49" t="str">
        <f>'V1.52+V1.52-F'!$F$6</f>
        <v>EPOS</v>
      </c>
      <c r="G470" s="53" t="str">
        <f ca="1">HYPERLINK("#" &amp; CELL("address", Concepts!$A$107), "Click here for definition")</f>
        <v>Click here for definition</v>
      </c>
    </row>
    <row r="471" spans="1:7" x14ac:dyDescent="0.2">
      <c r="A471">
        <v>470</v>
      </c>
      <c r="B471" t="s">
        <v>1535</v>
      </c>
      <c r="C471" s="53" t="str">
        <f ca="1">HYPERLINK("#" &amp; CELL("address", 'V1.52+V1.52-F'!$A$2), "V1.52")</f>
        <v>V1.52</v>
      </c>
      <c r="D471" s="53" t="str">
        <f ca="1">HYPERLINK("#" &amp; CELL("address", 'V1.52+V1.52-F'!$E$3), "Terminal type")</f>
        <v>Terminal type</v>
      </c>
      <c r="E471" s="53" t="str">
        <f ca="1">HYPERLINK("#" &amp; CELL("address", 'V1.52+V1.52-F'!$E$7), "Imprinter")</f>
        <v>Imprinter</v>
      </c>
      <c r="F471" s="49" t="str">
        <f>'V1.52+V1.52-F'!$F$7</f>
        <v>IMPR</v>
      </c>
      <c r="G471" s="53" t="str">
        <f ca="1">HYPERLINK("#" &amp; CELL("address", Concepts!$A$108), "Click here for definition")</f>
        <v>Click here for definition</v>
      </c>
    </row>
    <row r="472" spans="1:7" x14ac:dyDescent="0.2">
      <c r="A472">
        <v>471</v>
      </c>
      <c r="B472" t="s">
        <v>1535</v>
      </c>
      <c r="C472" s="53" t="str">
        <f ca="1">HYPERLINK("#" &amp; CELL("address", 'V1.52+V1.52-F'!$A$2), "V1.52")</f>
        <v>V1.52</v>
      </c>
      <c r="D472" s="53" t="str">
        <f ca="1">HYPERLINK("#" &amp; CELL("address", 'V1.52+V1.52-F'!$E$3), "Terminal type")</f>
        <v>Terminal type</v>
      </c>
      <c r="E472" s="53" t="str">
        <f ca="1">HYPERLINK("#" &amp; CELL("address", 'V1.52+V1.52-F'!$E$8), "E-commerce")</f>
        <v>E-commerce</v>
      </c>
      <c r="F472" s="49" t="str">
        <f>'V1.52+V1.52-F'!$F$8</f>
        <v>ECOM</v>
      </c>
      <c r="G472" s="53" t="str">
        <f ca="1">HYPERLINK("#" &amp; CELL("address", Concepts!$A$109), "Click here for definition")</f>
        <v>Click here for definition</v>
      </c>
    </row>
    <row r="473" spans="1:7" x14ac:dyDescent="0.2">
      <c r="A473">
        <v>472</v>
      </c>
      <c r="B473" t="s">
        <v>1535</v>
      </c>
      <c r="C473" s="53" t="str">
        <f ca="1">HYPERLINK("#" &amp; CELL("address", 'V1.52+V1.52-F'!$A$2), "V1.52")</f>
        <v>V1.52</v>
      </c>
      <c r="D473" s="53" t="str">
        <f ca="1">HYPERLINK("#" &amp; CELL("address", 'V1.52+V1.52-F'!$E$3), "Terminal type")</f>
        <v>Terminal type</v>
      </c>
      <c r="E473" s="53" t="str">
        <f ca="1">HYPERLINK("#" &amp; CELL("address", 'V1.52+V1.52-F'!$E$9), "MOTO")</f>
        <v>MOTO</v>
      </c>
      <c r="F473" s="49" t="str">
        <f>'V1.52+V1.52-F'!$F$9</f>
        <v>MOTO</v>
      </c>
      <c r="G473" s="53" t="str">
        <f ca="1">HYPERLINK("#" &amp; CELL("address", Concepts!$A$110), "Click here for definition")</f>
        <v>Click here for definition</v>
      </c>
    </row>
    <row r="474" spans="1:7" x14ac:dyDescent="0.2">
      <c r="A474">
        <v>473</v>
      </c>
      <c r="B474" t="s">
        <v>1535</v>
      </c>
      <c r="C474" s="53" t="str">
        <f ca="1">HYPERLINK("#" &amp; CELL("address", 'V1.52+V1.52-F'!$A$2), "V1.52")</f>
        <v>V1.52</v>
      </c>
      <c r="D474" s="53" t="str">
        <f ca="1">HYPERLINK("#" &amp; CELL("address", 'V1.52+V1.52-F'!$E$3), "Terminal type")</f>
        <v>Terminal type</v>
      </c>
      <c r="E474" s="53" t="str">
        <f ca="1">HYPERLINK("#" &amp; CELL("address", 'V1.52+V1.52-F'!$E$10), "Other")</f>
        <v>Other</v>
      </c>
      <c r="F474" s="49" t="str">
        <f>'V1.52+V1.52-F'!$F$10</f>
        <v>OTHR</v>
      </c>
      <c r="G474" s="53"/>
    </row>
    <row r="475" spans="1:7" x14ac:dyDescent="0.2">
      <c r="A475">
        <v>474</v>
      </c>
      <c r="B475" t="s">
        <v>1535</v>
      </c>
      <c r="C475" s="53" t="str">
        <f ca="1">HYPERLINK("#" &amp; CELL("address", 'V1.52+V1.52-F'!$A$2), "V1.52")</f>
        <v>V1.52</v>
      </c>
      <c r="D475" s="53" t="str">
        <f ca="1">HYPERLINK("#" &amp; CELL("address", 'V1.52+V1.52-F'!$G$3), "Operation type")</f>
        <v>Operation type</v>
      </c>
      <c r="E475" s="53" t="str">
        <f ca="1">HYPERLINK("#" &amp; CELL("address", 'V1.52+V1.52-F'!$G$5), "Sales")</f>
        <v>Sales</v>
      </c>
      <c r="F475" s="49" t="str">
        <f>'V1.52+V1.52-F'!$H$5</f>
        <v>SALE</v>
      </c>
      <c r="G475" s="53" t="str">
        <f ca="1">HYPERLINK("#" &amp; CELL("address", Concepts!$A$111), "Click here for definition")</f>
        <v>Click here for definition</v>
      </c>
    </row>
    <row r="476" spans="1:7" x14ac:dyDescent="0.2">
      <c r="A476">
        <v>475</v>
      </c>
      <c r="B476" t="s">
        <v>1535</v>
      </c>
      <c r="C476" s="53" t="str">
        <f ca="1">HYPERLINK("#" &amp; CELL("address", 'V1.52+V1.52-F'!$A$2), "V1.52")</f>
        <v>V1.52</v>
      </c>
      <c r="D476" s="53" t="str">
        <f ca="1">HYPERLINK("#" &amp; CELL("address", 'V1.52+V1.52-F'!$G$3), "Operation type")</f>
        <v>Operation type</v>
      </c>
      <c r="E476" s="53" t="str">
        <f ca="1">HYPERLINK("#" &amp; CELL("address", 'V1.52+V1.52-F'!$G$6), "Cash advance at a POS terminal")</f>
        <v>Cash advance at a POS terminal</v>
      </c>
      <c r="F476" s="49" t="str">
        <f>'V1.52+V1.52-F'!$H$6</f>
        <v>CADV</v>
      </c>
      <c r="G476" s="53" t="str">
        <f ca="1">HYPERLINK("#" &amp; CELL("address", Concepts!$A$114), "Click here for definition")</f>
        <v>Click here for definition</v>
      </c>
    </row>
    <row r="477" spans="1:7" x14ac:dyDescent="0.2">
      <c r="A477">
        <v>476</v>
      </c>
      <c r="B477" t="s">
        <v>1535</v>
      </c>
      <c r="C477" s="53" t="str">
        <f ca="1">HYPERLINK("#" &amp; CELL("address", 'V1.52+V1.52-F'!$A$2), "V1.52")</f>
        <v>V1.52</v>
      </c>
      <c r="D477" s="53" t="str">
        <f ca="1">HYPERLINK("#" &amp; CELL("address", 'V1.52+V1.52-F'!$G$3), "Operation type")</f>
        <v>Operation type</v>
      </c>
      <c r="E477" s="53" t="str">
        <f ca="1">HYPERLINK("#" &amp; CELL("address", 'V1.52+V1.52-F'!$G$7), "ATM cash withdrawal")</f>
        <v>ATM cash withdrawal</v>
      </c>
      <c r="F477" s="49" t="str">
        <f>'V1.52+V1.52-F'!$H$7</f>
        <v>ATMW</v>
      </c>
      <c r="G477" s="53" t="str">
        <f ca="1">HYPERLINK("#" &amp; CELL("address", Concepts!$A$115), "Click here for definition")</f>
        <v>Click here for definition</v>
      </c>
    </row>
    <row r="478" spans="1:7" x14ac:dyDescent="0.2">
      <c r="A478">
        <v>477</v>
      </c>
      <c r="B478" t="s">
        <v>1535</v>
      </c>
      <c r="C478" s="53" t="str">
        <f ca="1">HYPERLINK("#" &amp; CELL("address", 'V1.52+V1.52-F'!$A$2), "V1.52")</f>
        <v>V1.52</v>
      </c>
      <c r="D478" s="53" t="str">
        <f ca="1">HYPERLINK("#" &amp; CELL("address", 'V1.52+V1.52-F'!$G$3), "Operation type")</f>
        <v>Operation type</v>
      </c>
      <c r="E478" s="53" t="str">
        <f ca="1">HYPERLINK("#" &amp; CELL("address", 'V1.52+V1.52-F'!$G$8), "Other debit operation")</f>
        <v>Other debit operation</v>
      </c>
      <c r="F478" s="49" t="str">
        <f>'V1.52+V1.52-F'!$H$8</f>
        <v>OTHD</v>
      </c>
      <c r="G478" s="53"/>
    </row>
    <row r="479" spans="1:7" x14ac:dyDescent="0.2">
      <c r="A479">
        <v>478</v>
      </c>
      <c r="B479" t="s">
        <v>1535</v>
      </c>
      <c r="C479" s="53" t="str">
        <f ca="1">HYPERLINK("#" &amp; CELL("address", 'V1.52+V1.52-F'!$A$2), "V1.52")</f>
        <v>V1.52</v>
      </c>
      <c r="D479" s="53" t="str">
        <f ca="1">HYPERLINK("#" &amp; CELL("address", 'V1.52+V1.52-F'!$G$3), "Operation type")</f>
        <v>Operation type</v>
      </c>
      <c r="E479" s="53" t="str">
        <f ca="1">HYPERLINK("#" &amp; CELL("address", 'V1.52+V1.52-F'!$G$10), "Sales (credit)")</f>
        <v>Sales (credit)</v>
      </c>
      <c r="F479" s="49" t="str">
        <f>'V1.52+V1.52-F'!$H$10</f>
        <v>SALC</v>
      </c>
      <c r="G479" s="53" t="str">
        <f ca="1">HYPERLINK("#" &amp; CELL("address", Concepts!$A$112), "Click here for definition")</f>
        <v>Click here for definition</v>
      </c>
    </row>
    <row r="480" spans="1:7" x14ac:dyDescent="0.2">
      <c r="A480">
        <v>479</v>
      </c>
      <c r="B480" t="s">
        <v>1535</v>
      </c>
      <c r="C480" s="53" t="str">
        <f ca="1">HYPERLINK("#" &amp; CELL("address", 'V1.52+V1.52-F'!$A$2), "V1.52")</f>
        <v>V1.52</v>
      </c>
      <c r="D480" s="53" t="str">
        <f ca="1">HYPERLINK("#" &amp; CELL("address", 'V1.52+V1.52-F'!$G$3), "Operation type")</f>
        <v>Operation type</v>
      </c>
      <c r="E480" s="53" t="str">
        <f ca="1">HYPERLINK("#" &amp; CELL("address", 'V1.52+V1.52-F'!$G$11), "Refund")</f>
        <v>Refund</v>
      </c>
      <c r="F480" s="49" t="str">
        <f>'V1.52+V1.52-F'!$H$11</f>
        <v>RFND</v>
      </c>
      <c r="G480" s="53" t="str">
        <f ca="1">HYPERLINK("#" &amp; CELL("address", Concepts!$A$113), "Click here for definition")</f>
        <v>Click here for definition</v>
      </c>
    </row>
    <row r="481" spans="1:7" x14ac:dyDescent="0.2">
      <c r="A481">
        <v>480</v>
      </c>
      <c r="B481" t="s">
        <v>1535</v>
      </c>
      <c r="C481" s="53" t="str">
        <f ca="1">HYPERLINK("#" &amp; CELL("address", 'V1.52+V1.52-F'!$A$2), "V1.52")</f>
        <v>V1.52</v>
      </c>
      <c r="D481" s="53" t="str">
        <f ca="1">HYPERLINK("#" &amp; CELL("address", 'V1.52+V1.52-F'!$G$3), "Operation type")</f>
        <v>Operation type</v>
      </c>
      <c r="E481" s="53" t="str">
        <f ca="1">HYPERLINK("#" &amp; CELL("address", 'V1.52+V1.52-F'!$G$12), "ATM cash deposit")</f>
        <v>ATM cash deposit</v>
      </c>
      <c r="F481" s="49" t="str">
        <f>'V1.52+V1.52-F'!$H$12</f>
        <v>ATMD</v>
      </c>
      <c r="G481" s="53" t="str">
        <f ca="1">HYPERLINK("#" &amp; CELL("address", Concepts!$A$116), "Click here for definition")</f>
        <v>Click here for definition</v>
      </c>
    </row>
    <row r="482" spans="1:7" x14ac:dyDescent="0.2">
      <c r="A482">
        <v>481</v>
      </c>
      <c r="B482" t="s">
        <v>1535</v>
      </c>
      <c r="C482" s="53" t="str">
        <f ca="1">HYPERLINK("#" &amp; CELL("address", 'V1.52+V1.52-F'!$A$2), "V1.52")</f>
        <v>V1.52</v>
      </c>
      <c r="D482" s="53" t="str">
        <f ca="1">HYPERLINK("#" &amp; CELL("address", 'V1.52+V1.52-F'!$G$3), "Operation type")</f>
        <v>Operation type</v>
      </c>
      <c r="E482" s="53" t="str">
        <f ca="1">HYPERLINK("#" &amp; CELL("address", 'V1.52+V1.52-F'!$G$13), "Other credit operation")</f>
        <v>Other credit operation</v>
      </c>
      <c r="F482" s="49" t="str">
        <f>'V1.52+V1.52-F'!$H$13</f>
        <v>OTHC</v>
      </c>
      <c r="G482" s="53"/>
    </row>
    <row r="483" spans="1:7" x14ac:dyDescent="0.2">
      <c r="A483">
        <v>482</v>
      </c>
      <c r="B483" t="s">
        <v>1535</v>
      </c>
      <c r="C483" s="53" t="str">
        <f ca="1">HYPERLINK("#" &amp; CELL("address", 'V1.52+V1.52-F'!$A$2), "V1.52")</f>
        <v>V1.52</v>
      </c>
      <c r="D483" s="53" t="str">
        <f ca="1">HYPERLINK("#" &amp; CELL("address", 'V1.52+V1.52-F'!$I$3), "Initiation channel")</f>
        <v>Initiation channel</v>
      </c>
      <c r="E483" s="53" t="str">
        <f ca="1">HYPERLINK("#" &amp; CELL("address", 'V1.52+V1.52-F'!$I$5), "Contact-based transaction")</f>
        <v>Contact-based transaction</v>
      </c>
      <c r="F483" s="49" t="str">
        <f>'V1.52+V1.52-F'!$J$5</f>
        <v>CNTR</v>
      </c>
      <c r="G483" s="53" t="str">
        <f ca="1">HYPERLINK("#" &amp; CELL("address", Concepts!$A$117), "Click here for definition")</f>
        <v>Click here for definition</v>
      </c>
    </row>
    <row r="484" spans="1:7" x14ac:dyDescent="0.2">
      <c r="A484">
        <v>483</v>
      </c>
      <c r="B484" t="s">
        <v>1535</v>
      </c>
      <c r="C484" s="53" t="str">
        <f ca="1">HYPERLINK("#" &amp; CELL("address", 'V1.52+V1.52-F'!$A$2), "V1.52")</f>
        <v>V1.52</v>
      </c>
      <c r="D484" s="53" t="str">
        <f ca="1">HYPERLINK("#" &amp; CELL("address", 'V1.52+V1.52-F'!$I$3), "Initiation channel")</f>
        <v>Initiation channel</v>
      </c>
      <c r="E484" s="53" t="str">
        <f ca="1">HYPERLINK("#" &amp; CELL("address", 'V1.52+V1.52-F'!$I$7), "using NFC")</f>
        <v>using NFC</v>
      </c>
      <c r="F484" s="49" t="str">
        <f>'V1.52+V1.52-F'!$J$7</f>
        <v>CNFC</v>
      </c>
      <c r="G484" s="53" t="str">
        <f ca="1">HYPERLINK("#" &amp; CELL("address", Concepts!$A$120), "Click here for definition")</f>
        <v>Click here for definition</v>
      </c>
    </row>
    <row r="485" spans="1:7" x14ac:dyDescent="0.2">
      <c r="A485">
        <v>484</v>
      </c>
      <c r="B485" t="s">
        <v>1535</v>
      </c>
      <c r="C485" s="53" t="str">
        <f ca="1">HYPERLINK("#" &amp; CELL("address", 'V1.52+V1.52-F'!$A$2), "V1.52")</f>
        <v>V1.52</v>
      </c>
      <c r="D485" s="53" t="str">
        <f ca="1">HYPERLINK("#" &amp; CELL("address", 'V1.52+V1.52-F'!$I$3), "Initiation channel")</f>
        <v>Initiation channel</v>
      </c>
      <c r="E485" s="53" t="str">
        <f ca="1">HYPERLINK("#" &amp; CELL("address", 'V1.52+V1.52-F'!$I$8), "using other technology")</f>
        <v>using other technology</v>
      </c>
      <c r="F485" s="49" t="str">
        <f>'V1.52+V1.52-F'!$J$8</f>
        <v>OCLS</v>
      </c>
      <c r="G485" s="53" t="str">
        <f ca="1">HYPERLINK("#" &amp; CELL("address", Concepts!$A$121), "Click here for definition")</f>
        <v>Click here for definition</v>
      </c>
    </row>
    <row r="486" spans="1:7" x14ac:dyDescent="0.2">
      <c r="A486">
        <v>485</v>
      </c>
      <c r="B486" t="s">
        <v>1535</v>
      </c>
      <c r="C486" s="53" t="str">
        <f ca="1">HYPERLINK("#" &amp; CELL("address", 'V1.52+V1.52-F'!$A$2), "V1.52")</f>
        <v>V1.52</v>
      </c>
      <c r="D486" s="53" t="str">
        <f ca="1">HYPERLINK("#" &amp; CELL("address", 'V1.52+V1.52-F'!$I$3), "Initiation channel")</f>
        <v>Initiation channel</v>
      </c>
      <c r="E486" s="53" t="str">
        <f ca="1">HYPERLINK("#" &amp; CELL("address", 'V1.52+V1.52-F'!$I$10), "Remote card transaction")</f>
        <v>Remote card transaction</v>
      </c>
      <c r="F486" s="49" t="str">
        <f>'V1.52+V1.52-F'!$J$10</f>
        <v>RMTR</v>
      </c>
      <c r="G486" s="53" t="str">
        <f ca="1">HYPERLINK("#" &amp; CELL("address", Concepts!$A$118), "Click here for definition")</f>
        <v>Click here for definition</v>
      </c>
    </row>
    <row r="487" spans="1:7" x14ac:dyDescent="0.2">
      <c r="A487">
        <v>486</v>
      </c>
      <c r="B487" t="s">
        <v>1535</v>
      </c>
      <c r="C487" s="53" t="str">
        <f ca="1">HYPERLINK("#" &amp; CELL("address", 'V1.52+V1.52-F'!$A$2), "V1.52")</f>
        <v>V1.52</v>
      </c>
      <c r="D487" s="53" t="str">
        <f ca="1">HYPERLINK("#" &amp; CELL("address", 'V1.52+V1.52-F'!$I$3), "Initiation channel")</f>
        <v>Initiation channel</v>
      </c>
      <c r="E487" s="53" t="str">
        <f ca="1">HYPERLINK("#" &amp; CELL("address", 'V1.52+V1.52-F'!$I$12), "P2P MPS")</f>
        <v>P2P MPS</v>
      </c>
      <c r="F487" s="49" t="str">
        <f>'V1.52+V1.52-F'!$J$12</f>
        <v>P2PM</v>
      </c>
      <c r="G487" s="53" t="str">
        <f ca="1">HYPERLINK("#" &amp; CELL("address", Concepts!$A$40), "Click here for definition")</f>
        <v>Click here for definition</v>
      </c>
    </row>
    <row r="488" spans="1:7" x14ac:dyDescent="0.2">
      <c r="A488">
        <v>487</v>
      </c>
      <c r="B488" t="s">
        <v>1535</v>
      </c>
      <c r="C488" s="53" t="str">
        <f ca="1">HYPERLINK("#" &amp; CELL("address", 'V1.52+V1.52-F'!$A$2), "V1.52")</f>
        <v>V1.52</v>
      </c>
      <c r="D488" s="53" t="str">
        <f ca="1">HYPERLINK("#" &amp; CELL("address", 'V1.52+V1.52-F'!$I$3), "Initiation channel")</f>
        <v>Initiation channel</v>
      </c>
      <c r="E488" s="53" t="str">
        <f ca="1">HYPERLINK("#" &amp; CELL("address", 'V1.52+V1.52-F'!$I$13), "Other MPS")</f>
        <v>Other MPS</v>
      </c>
      <c r="F488" s="49" t="str">
        <f>'V1.52+V1.52-F'!$J$13</f>
        <v>OMPS</v>
      </c>
      <c r="G488" s="53" t="str">
        <f ca="1">HYPERLINK("#" &amp; CELL("address", Concepts!$A$41), "Click here for definition")</f>
        <v>Click here for definition</v>
      </c>
    </row>
    <row r="489" spans="1:7" x14ac:dyDescent="0.2">
      <c r="A489">
        <v>488</v>
      </c>
      <c r="B489" t="s">
        <v>1535</v>
      </c>
      <c r="C489" s="53" t="str">
        <f ca="1">HYPERLINK("#" &amp; CELL("address", 'V1.52+V1.52-F'!$A$2), "V1.52")</f>
        <v>V1.52</v>
      </c>
      <c r="D489" s="53" t="str">
        <f ca="1">HYPERLINK("#" &amp; CELL("address", 'V1.52+V1.52-F'!$I$3), "Initiation channel")</f>
        <v>Initiation channel</v>
      </c>
      <c r="E489" s="53" t="str">
        <f ca="1">HYPERLINK("#" &amp; CELL("address", 'V1.52+V1.52-F'!$I$14), "Other")</f>
        <v>Other</v>
      </c>
      <c r="F489" s="49" t="str">
        <f>'V1.52+V1.52-F'!$J$14</f>
        <v>OTHR</v>
      </c>
      <c r="G489" s="53"/>
    </row>
    <row r="490" spans="1:7" x14ac:dyDescent="0.2">
      <c r="A490">
        <v>489</v>
      </c>
      <c r="B490" t="s">
        <v>1535</v>
      </c>
      <c r="C490" s="53" t="str">
        <f ca="1">HYPERLINK("#" &amp; CELL("address", 'V1.52+V1.52-F'!$A$2), "V1.52")</f>
        <v>V1.52</v>
      </c>
      <c r="D490" s="53" t="str">
        <f ca="1">HYPERLINK("#" &amp; CELL("address", 'V1.52+V1.52-F'!$K$3), "Initiation sub-channel")</f>
        <v>Initiation sub-channel</v>
      </c>
      <c r="E490" s="53" t="str">
        <f ca="1">HYPERLINK("#" &amp; CELL("address", 'V1.52+V1.52-F'!$K$4), "Remote")</f>
        <v>Remote</v>
      </c>
      <c r="F490" s="49" t="str">
        <f>'V1.52+V1.52-F'!$L$4</f>
        <v>REM1</v>
      </c>
      <c r="G490" s="53" t="str">
        <f ca="1">HYPERLINK("#" &amp; CELL("address", Concepts!$A$43), "Click here for definition")</f>
        <v>Click here for definition</v>
      </c>
    </row>
    <row r="491" spans="1:7" x14ac:dyDescent="0.2">
      <c r="A491">
        <v>490</v>
      </c>
      <c r="B491" t="s">
        <v>1535</v>
      </c>
      <c r="C491" s="53" t="str">
        <f ca="1">HYPERLINK("#" &amp; CELL("address", 'V1.52+V1.52-F'!$A$2), "V1.52")</f>
        <v>V1.52</v>
      </c>
      <c r="D491" s="53" t="str">
        <f ca="1">HYPERLINK("#" &amp; CELL("address", 'V1.52+V1.52-F'!$K$3), "Initiation sub-channel")</f>
        <v>Initiation sub-channel</v>
      </c>
      <c r="E491" s="53" t="str">
        <f ca="1">HYPERLINK("#" &amp; CELL("address", 'V1.52+V1.52-F'!$K$5), "Non-remote")</f>
        <v>Non-remote</v>
      </c>
      <c r="F491" s="49" t="str">
        <f>'V1.52+V1.52-F'!$L$5</f>
        <v>REM0</v>
      </c>
      <c r="G491" s="53" t="str">
        <f ca="1">HYPERLINK("#" &amp; CELL("address", Concepts!$A$44), "Click here for definition")</f>
        <v>Click here for definition</v>
      </c>
    </row>
    <row r="492" spans="1:7" x14ac:dyDescent="0.2">
      <c r="A492">
        <v>491</v>
      </c>
      <c r="B492" t="s">
        <v>1535</v>
      </c>
      <c r="C492" s="53" t="str">
        <f ca="1">HYPERLINK("#" &amp; CELL("address", 'V1.52+V1.52-F'!$A$2), "V1.52")</f>
        <v>V1.52</v>
      </c>
      <c r="D492" s="53" t="str">
        <f ca="1">HYPERLINK("#" &amp; CELL("address", 'V1.52+V1.52-F'!$M$3), "SCA")</f>
        <v>SCA</v>
      </c>
      <c r="E492" s="53" t="str">
        <f ca="1">HYPERLINK("#" &amp; CELL("address", 'V1.52+V1.52-F'!$M$4), "SCA used")</f>
        <v>SCA used</v>
      </c>
      <c r="F492" s="49" t="str">
        <f>'V1.52+V1.52-F'!$N$4</f>
        <v>SCA1</v>
      </c>
      <c r="G492" s="53" t="str">
        <f ca="1">HYPERLINK("#" &amp; CELL("address", Concepts!$A$47), "Click here for definition")</f>
        <v>Click here for definition</v>
      </c>
    </row>
    <row r="493" spans="1:7" x14ac:dyDescent="0.2">
      <c r="A493">
        <v>492</v>
      </c>
      <c r="B493" t="s">
        <v>1535</v>
      </c>
      <c r="C493" s="53" t="str">
        <f ca="1">HYPERLINK("#" &amp; CELL("address", 'V1.52+V1.52-F'!$A$2), "V1.52")</f>
        <v>V1.52</v>
      </c>
      <c r="D493" s="53" t="str">
        <f ca="1">HYPERLINK("#" &amp; CELL("address", 'V1.52+V1.52-F'!$M$3), "SCA")</f>
        <v>SCA</v>
      </c>
      <c r="E493" s="53" t="str">
        <f ca="1">HYPERLINK("#" &amp; CELL("address", 'V1.52+V1.52-F'!$M$7), "Recurring transaction")</f>
        <v>Recurring transaction</v>
      </c>
      <c r="F493" s="49" t="str">
        <f>'V1.52+V1.52-F'!$N$7</f>
        <v>RETR</v>
      </c>
      <c r="G493" s="53" t="str">
        <f ca="1">HYPERLINK("#" &amp; CELL("address", Concepts!$A$51), "Click here for definition")</f>
        <v>Click here for definition</v>
      </c>
    </row>
    <row r="494" spans="1:7" x14ac:dyDescent="0.2">
      <c r="A494">
        <v>493</v>
      </c>
      <c r="B494" t="s">
        <v>1535</v>
      </c>
      <c r="C494" s="53" t="str">
        <f ca="1">HYPERLINK("#" &amp; CELL("address", 'V1.52+V1.52-F'!$A$2), "V1.52")</f>
        <v>V1.52</v>
      </c>
      <c r="D494" s="53" t="str">
        <f ca="1">HYPERLINK("#" &amp; CELL("address", 'V1.52+V1.52-F'!$M$3), "SCA")</f>
        <v>SCA</v>
      </c>
      <c r="E494" s="53" t="str">
        <f ca="1">HYPERLINK("#" &amp; CELL("address", 'V1.52+V1.52-F'!$M$8), "Other")</f>
        <v>Other</v>
      </c>
      <c r="F494" s="49" t="str">
        <f>'V1.52+V1.52-F'!$N$8</f>
        <v>OTHR</v>
      </c>
      <c r="G494" s="53" t="str">
        <f ca="1">HYPERLINK("#" &amp; CELL("address", Concepts!$A$58), "Click here for definition")</f>
        <v>Click here for definition</v>
      </c>
    </row>
    <row r="495" spans="1:7" x14ac:dyDescent="0.2">
      <c r="A495">
        <v>494</v>
      </c>
      <c r="B495" t="s">
        <v>1535</v>
      </c>
      <c r="C495" s="53" t="str">
        <f ca="1">HYPERLINK("#" &amp; CELL("address", 'V1.52+V1.52-F'!$A$2), "V1.52")</f>
        <v>V1.52</v>
      </c>
      <c r="D495" s="53" t="str">
        <f ca="1">HYPERLINK("#" &amp; CELL("address", 'V1.52+V1.52-F'!$M$3), "SCA")</f>
        <v>SCA</v>
      </c>
      <c r="E495" s="53" t="str">
        <f ca="1">HYPERLINK("#" &amp; CELL("address", 'V1.52+V1.52-F'!$M$10), "Contactless low value")</f>
        <v>Contactless low value</v>
      </c>
      <c r="F495" s="49" t="str">
        <f>'V1.52+V1.52-F'!$N$10</f>
        <v>CLOW</v>
      </c>
      <c r="G495" s="53" t="str">
        <f ca="1">HYPERLINK("#" &amp; CELL("address", Concepts!$A$52), "Click here for definition")</f>
        <v>Click here for definition</v>
      </c>
    </row>
    <row r="496" spans="1:7" x14ac:dyDescent="0.2">
      <c r="A496">
        <v>495</v>
      </c>
      <c r="B496" t="s">
        <v>1535</v>
      </c>
      <c r="C496" s="53" t="str">
        <f ca="1">HYPERLINK("#" &amp; CELL("address", 'V1.52+V1.52-F'!$A$2), "V1.52")</f>
        <v>V1.52</v>
      </c>
      <c r="D496" s="53" t="str">
        <f ca="1">HYPERLINK("#" &amp; CELL("address", 'V1.52+V1.52-F'!$M$3), "SCA")</f>
        <v>SCA</v>
      </c>
      <c r="E496" s="53" t="str">
        <f ca="1">HYPERLINK("#" &amp; CELL("address", 'V1.52+V1.52-F'!$M$11), "Unattended terminal for transport fares or parking fees")</f>
        <v>Unattended terminal for transport fares or parking fees</v>
      </c>
      <c r="F496" s="49" t="str">
        <f>'V1.52+V1.52-F'!$N$11</f>
        <v>UNTE</v>
      </c>
      <c r="G496" s="53" t="str">
        <f ca="1">HYPERLINK("#" &amp; CELL("address", Concepts!$A$53), "Click here for definition")</f>
        <v>Click here for definition</v>
      </c>
    </row>
    <row r="497" spans="1:7" x14ac:dyDescent="0.2">
      <c r="A497">
        <v>496</v>
      </c>
      <c r="B497" t="s">
        <v>1535</v>
      </c>
      <c r="C497" s="53" t="str">
        <f ca="1">HYPERLINK("#" &amp; CELL("address", 'V1.52+V1.52-F'!$A$2), "V1.52")</f>
        <v>V1.52</v>
      </c>
      <c r="D497" s="53" t="str">
        <f ca="1">HYPERLINK("#" &amp; CELL("address", 'V1.52+V1.52-F'!$M$3), "SCA")</f>
        <v>SCA</v>
      </c>
      <c r="E497" s="53" t="str">
        <f ca="1">HYPERLINK("#" &amp; CELL("address", 'V1.52+V1.52-F'!$M$13), "Low value")</f>
        <v>Low value</v>
      </c>
      <c r="F497" s="49" t="str">
        <f>'V1.52+V1.52-F'!$N$13</f>
        <v>RLOW</v>
      </c>
      <c r="G497" s="53" t="str">
        <f ca="1">HYPERLINK("#" &amp; CELL("address", Concepts!$A$54), "Click here for definition")</f>
        <v>Click here for definition</v>
      </c>
    </row>
    <row r="498" spans="1:7" x14ac:dyDescent="0.2">
      <c r="A498">
        <v>497</v>
      </c>
      <c r="B498" t="s">
        <v>1535</v>
      </c>
      <c r="C498" s="53" t="str">
        <f ca="1">HYPERLINK("#" &amp; CELL("address", 'V1.52+V1.52-F'!$A$2), "V1.52")</f>
        <v>V1.52</v>
      </c>
      <c r="D498" s="53" t="str">
        <f ca="1">HYPERLINK("#" &amp; CELL("address", 'V1.52+V1.52-F'!$M$3), "SCA")</f>
        <v>SCA</v>
      </c>
      <c r="E498" s="53" t="str">
        <f ca="1">HYPERLINK("#" &amp; CELL("address", 'V1.52+V1.52-F'!$M$14), "Transaction risk analysis")</f>
        <v>Transaction risk analysis</v>
      </c>
      <c r="F498" s="49" t="str">
        <f>'V1.52+V1.52-F'!$N$14</f>
        <v>RTRA</v>
      </c>
      <c r="G498" s="53" t="str">
        <f ca="1">HYPERLINK("#" &amp; CELL("address", Concepts!$A$56), "Click here for definition")</f>
        <v>Click here for definition</v>
      </c>
    </row>
    <row r="499" spans="1:7" x14ac:dyDescent="0.2">
      <c r="A499">
        <v>498</v>
      </c>
      <c r="B499" t="s">
        <v>1535</v>
      </c>
      <c r="C499" s="53" t="str">
        <f ca="1">HYPERLINK("#" &amp; CELL("address", 'V1.52+V1.52-F'!$A$2), "V1.52")</f>
        <v>V1.52</v>
      </c>
      <c r="D499" s="53" t="str">
        <f ca="1">HYPERLINK("#" &amp; CELL("address", 'V1.52+V1.52-F'!$M$3), "SCA")</f>
        <v>SCA</v>
      </c>
      <c r="E499" s="53" t="str">
        <f ca="1">HYPERLINK("#" &amp; CELL("address", 'V1.52+V1.52-F'!$M$15), "Merchant initiated transaction (MIT)")</f>
        <v>Merchant initiated transaction (MIT)</v>
      </c>
      <c r="F499" s="49" t="str">
        <f>'V1.52+V1.52-F'!$N$15</f>
        <v>MITR</v>
      </c>
      <c r="G499" s="53" t="str">
        <f ca="1">HYPERLINK("#" &amp; CELL("address", Concepts!$A$122), "Click here for definition")</f>
        <v>Click here for definition</v>
      </c>
    </row>
    <row r="500" spans="1:7" x14ac:dyDescent="0.2">
      <c r="A500">
        <v>499</v>
      </c>
      <c r="B500" t="s">
        <v>1535</v>
      </c>
      <c r="C500" s="53" t="str">
        <f ca="1">HYPERLINK("#" &amp; CELL("address", 'V1.52+V1.52-F'!$A$2), "V1.52")</f>
        <v>V1.52</v>
      </c>
      <c r="D500" s="53" t="str">
        <f ca="1">HYPERLINK("#" &amp; CELL("address", 'V1.52+V1.52-F'!$M$3), "SCA")</f>
        <v>SCA</v>
      </c>
      <c r="E500" s="53" t="str">
        <f ca="1">HYPERLINK("#" &amp; CELL("address", 'V1.52+V1.52-F'!$M$16), "Not applicable")</f>
        <v>Not applicable</v>
      </c>
      <c r="F500" s="49" t="str">
        <f>'V1.52+V1.52-F'!$N$16</f>
        <v>NOAP</v>
      </c>
      <c r="G500" s="53" t="str">
        <f ca="1">HYPERLINK("#" &amp; CELL("address", Concepts!$A$57), "Click here for definition")</f>
        <v>Click here for definition</v>
      </c>
    </row>
    <row r="501" spans="1:7" x14ac:dyDescent="0.2">
      <c r="A501">
        <v>500</v>
      </c>
      <c r="B501" t="s">
        <v>1535</v>
      </c>
      <c r="C501" s="53" t="str">
        <f ca="1">HYPERLINK("#" &amp; CELL("address", 'V1.52+V1.52-F'!$A$2), "V1.52")</f>
        <v>V1.52</v>
      </c>
      <c r="D501" s="53" t="str">
        <f ca="1">HYPERLINK("#" &amp; CELL("address", 'V1.52+V1.52-F'!$O$3), "Fraud type")</f>
        <v>Fraud type</v>
      </c>
      <c r="E501" s="53" t="str">
        <f ca="1">HYPERLINK("#" &amp; CELL("address", 'V1.52+V1.52-F'!$O$4), "Not applicable")</f>
        <v>Not applicable</v>
      </c>
      <c r="F501" s="49" t="str">
        <f>'V1.52+V1.52-F'!$P$4</f>
        <v>NOAP</v>
      </c>
      <c r="G501" s="53" t="str">
        <f ca="1">HYPERLINK("#" &amp; CELL("address", Concepts!$A$59), "Click here for definition")</f>
        <v>Click here for definition</v>
      </c>
    </row>
    <row r="502" spans="1:7" x14ac:dyDescent="0.2">
      <c r="A502">
        <v>501</v>
      </c>
      <c r="B502" t="s">
        <v>1535</v>
      </c>
      <c r="C502" s="53" t="str">
        <f ca="1">HYPERLINK("#" &amp; CELL("address", 'V1.52+V1.52-F'!$A$2), "V1.52")</f>
        <v>V1.52</v>
      </c>
      <c r="D502" s="53" t="str">
        <f ca="1">HYPERLINK("#" &amp; CELL("address", 'V1.52+V1.52-F'!$Q$3), "Country of issuer")</f>
        <v>Country of issuer</v>
      </c>
      <c r="E502" s="53" t="str">
        <f ca="1">HYPERLINK("#" &amp; CELL("address", 'V1.52+V1.52-F'!$Q$4), "2-letter ISO 3166 country code")</f>
        <v>2-letter ISO 3166 country code</v>
      </c>
      <c r="F502" s="49" t="str">
        <f>'V1.52+V1.52-F'!$R$4</f>
        <v>[Geo]</v>
      </c>
      <c r="G502" s="53" t="str">
        <f ca="1">HYPERLINK("#" &amp; CELL("address", Concepts!$A$145), "Click here for definition")</f>
        <v>Click here for definition</v>
      </c>
    </row>
    <row r="503" spans="1:7" x14ac:dyDescent="0.2">
      <c r="A503">
        <v>502</v>
      </c>
      <c r="B503" t="s">
        <v>1535</v>
      </c>
      <c r="C503" s="53" t="str">
        <f ca="1">HYPERLINK("#" &amp; CELL("address", 'V1.52+V1.52-F'!$A$2), "V1.52")</f>
        <v>V1.52</v>
      </c>
      <c r="D503" s="53" t="str">
        <f ca="1">HYPERLINK("#" &amp; CELL("address", 'V1.52+V1.52-F'!$S$3), "Country of terminal")</f>
        <v>Country of terminal</v>
      </c>
      <c r="E503" s="53" t="str">
        <f ca="1">HYPERLINK("#" &amp; CELL("address", 'V1.52+V1.52-F'!$S$4), "2-letter ISO 3166 country code")</f>
        <v>2-letter ISO 3166 country code</v>
      </c>
      <c r="F503" s="49" t="str">
        <f>'V1.52+V1.52-F'!$T$4</f>
        <v>[Geo]</v>
      </c>
      <c r="G503" s="53" t="str">
        <f ca="1">HYPERLINK("#" &amp; CELL("address", Concepts!$A$145), "Click here for definition")</f>
        <v>Click here for definition</v>
      </c>
    </row>
    <row r="504" spans="1:7" x14ac:dyDescent="0.2">
      <c r="A504">
        <v>503</v>
      </c>
      <c r="B504" t="s">
        <v>1535</v>
      </c>
      <c r="C504" s="53" t="str">
        <f ca="1">HYPERLINK("#" &amp; CELL("address", 'V1.52+V1.52-F'!$A$2), "V1.52")</f>
        <v>V1.52</v>
      </c>
      <c r="D504" s="53" t="str">
        <f ca="1">HYPERLINK("#" &amp; CELL("address", 'V1.52+V1.52-F'!$U$3), "Currency")</f>
        <v>Currency</v>
      </c>
      <c r="E504" s="53" t="str">
        <f ca="1">HYPERLINK("#" &amp; CELL("address", 'V1.52+V1.52-F'!$U$4), "3-letter ISO 4217 currency code")</f>
        <v>3-letter ISO 4217 currency code</v>
      </c>
      <c r="F504" s="49" t="str">
        <f>'V1.52+V1.52-F'!$V$4</f>
        <v>[Currency]</v>
      </c>
      <c r="G504" s="53" t="str">
        <f ca="1">HYPERLINK("#" &amp; CELL("address", Concepts!$A$146), "Click here for definition")</f>
        <v>Click here for definition</v>
      </c>
    </row>
    <row r="505" spans="1:7" x14ac:dyDescent="0.2">
      <c r="A505">
        <v>504</v>
      </c>
      <c r="B505" t="s">
        <v>1535</v>
      </c>
      <c r="C505" s="53" t="str">
        <f ca="1">HYPERLINK("#" &amp; CELL("address", 'V1.52+V1.52-F'!$A$2), "V1.52")</f>
        <v>V1.52</v>
      </c>
      <c r="D505" s="53" t="str">
        <f ca="1">HYPERLINK("#" &amp; CELL("address", 'V1.52+V1.52-F'!$W$3), "Metric")</f>
        <v>Metric</v>
      </c>
      <c r="E505" s="53" t="str">
        <f ca="1">HYPERLINK("#" &amp; CELL("address", 'V1.52+V1.52-F'!$W$4), "Number of transactions")</f>
        <v>Number of transactions</v>
      </c>
      <c r="F505" s="49" t="str">
        <f>'V1.52+V1.52-F'!$X$4</f>
        <v>VOLU</v>
      </c>
      <c r="G505" s="53" t="str">
        <f ca="1">HYPERLINK("#" &amp; CELL("address", Concepts!$A$147), "Click here for definition")</f>
        <v>Click here for definition</v>
      </c>
    </row>
    <row r="506" spans="1:7" x14ac:dyDescent="0.2">
      <c r="A506">
        <v>505</v>
      </c>
      <c r="B506" t="s">
        <v>1535</v>
      </c>
      <c r="C506" s="53" t="str">
        <f ca="1">HYPERLINK("#" &amp; CELL("address", 'V1.52+V1.52-F'!$A$2), "V1.52")</f>
        <v>V1.52</v>
      </c>
      <c r="D506" s="53" t="str">
        <f ca="1">HYPERLINK("#" &amp; CELL("address", 'V1.52+V1.52-F'!$W$3), "Metric")</f>
        <v>Metric</v>
      </c>
      <c r="E506" s="53" t="str">
        <f ca="1">HYPERLINK("#" &amp; CELL("address", 'V1.52+V1.52-F'!$W$5), "Value of transactions")</f>
        <v>Value of transactions</v>
      </c>
      <c r="F506" s="49" t="str">
        <f>'V1.52+V1.52-F'!$X$5</f>
        <v>VALE</v>
      </c>
      <c r="G506" s="53" t="str">
        <f ca="1">HYPERLINK("#" &amp; CELL("address", Concepts!$A$148), "Click here for definition")</f>
        <v>Click here for definition</v>
      </c>
    </row>
    <row r="507" spans="1:7" x14ac:dyDescent="0.2">
      <c r="A507">
        <v>506</v>
      </c>
      <c r="B507" t="s">
        <v>1535</v>
      </c>
      <c r="C507" s="53" t="str">
        <f ca="1">HYPERLINK("#" &amp; CELL("address", 'V1.52+V1.52-F'!$A$23), "V1.52-F")</f>
        <v>V1.52-F</v>
      </c>
      <c r="D507" s="53" t="str">
        <f ca="1">HYPERLINK("#" &amp; CELL("address", 'V1.52+V1.52-F'!$A$3), "Payment card type")</f>
        <v>Payment card type</v>
      </c>
      <c r="E507" s="53" t="str">
        <f ca="1">HYPERLINK("#" &amp; CELL("address", 'V1.52+V1.52-F'!$A$4), "Debit card")</f>
        <v>Debit card</v>
      </c>
      <c r="F507" s="49" t="str">
        <f>'V1.52+V1.52-F'!$B$4</f>
        <v>DECA</v>
      </c>
      <c r="G507" s="53" t="str">
        <f ca="1">HYPERLINK("#" &amp; CELL("address", Concepts!$A$95), "Click here for definition")</f>
        <v>Click here for definition</v>
      </c>
    </row>
    <row r="508" spans="1:7" x14ac:dyDescent="0.2">
      <c r="A508">
        <v>507</v>
      </c>
      <c r="B508" t="s">
        <v>1535</v>
      </c>
      <c r="C508" s="53" t="str">
        <f ca="1">HYPERLINK("#" &amp; CELL("address", 'V1.52+V1.52-F'!$A$23), "V1.52-F")</f>
        <v>V1.52-F</v>
      </c>
      <c r="D508" s="53" t="str">
        <f ca="1">HYPERLINK("#" &amp; CELL("address", 'V1.52+V1.52-F'!$A$3), "Payment card type")</f>
        <v>Payment card type</v>
      </c>
      <c r="E508" s="53" t="str">
        <f ca="1">HYPERLINK("#" &amp; CELL("address", 'V1.52+V1.52-F'!$A$5), "Delayed debit card")</f>
        <v>Delayed debit card</v>
      </c>
      <c r="F508" s="49" t="str">
        <f>'V1.52+V1.52-F'!$B$5</f>
        <v>DDCA</v>
      </c>
      <c r="G508" s="53" t="str">
        <f ca="1">HYPERLINK("#" &amp; CELL("address", Concepts!$A$96), "Click here for definition")</f>
        <v>Click here for definition</v>
      </c>
    </row>
    <row r="509" spans="1:7" x14ac:dyDescent="0.2">
      <c r="A509">
        <v>508</v>
      </c>
      <c r="B509" t="s">
        <v>1535</v>
      </c>
      <c r="C509" s="53" t="str">
        <f ca="1">HYPERLINK("#" &amp; CELL("address", 'V1.52+V1.52-F'!$A$23), "V1.52-F")</f>
        <v>V1.52-F</v>
      </c>
      <c r="D509" s="53" t="str">
        <f ca="1">HYPERLINK("#" &amp; CELL("address", 'V1.52+V1.52-F'!$A$3), "Payment card type")</f>
        <v>Payment card type</v>
      </c>
      <c r="E509" s="53" t="str">
        <f ca="1">HYPERLINK("#" &amp; CELL("address", 'V1.52+V1.52-F'!$A$6), "Credit card")</f>
        <v>Credit card</v>
      </c>
      <c r="F509" s="49" t="str">
        <f>'V1.52+V1.52-F'!$B$6</f>
        <v>CRCA</v>
      </c>
      <c r="G509" s="53" t="str">
        <f ca="1">HYPERLINK("#" &amp; CELL("address", Concepts!$A$97), "Click here for definition")</f>
        <v>Click here for definition</v>
      </c>
    </row>
    <row r="510" spans="1:7" x14ac:dyDescent="0.2">
      <c r="A510">
        <v>509</v>
      </c>
      <c r="B510" t="s">
        <v>1535</v>
      </c>
      <c r="C510" s="53" t="str">
        <f ca="1">HYPERLINK("#" &amp; CELL("address", 'V1.52+V1.52-F'!$A$23), "V1.52-F")</f>
        <v>V1.52-F</v>
      </c>
      <c r="D510" s="53" t="str">
        <f ca="1">HYPERLINK("#" &amp; CELL("address", 'V1.52+V1.52-F'!$A$3), "Payment card type")</f>
        <v>Payment card type</v>
      </c>
      <c r="E510" s="53" t="str">
        <f ca="1">HYPERLINK("#" &amp; CELL("address", 'V1.52+V1.52-F'!$A$7), "Mixed card (debit+credit)")</f>
        <v>Mixed card (debit+credit)</v>
      </c>
      <c r="F510" s="49" t="str">
        <f>'V1.52+V1.52-F'!$B$7</f>
        <v>MXCA</v>
      </c>
      <c r="G510" s="53" t="str">
        <f ca="1">HYPERLINK("#" &amp; CELL("address", Concepts!$A$98), "Click here for definition")</f>
        <v>Click here for definition</v>
      </c>
    </row>
    <row r="511" spans="1:7" x14ac:dyDescent="0.2">
      <c r="A511">
        <v>510</v>
      </c>
      <c r="B511" t="s">
        <v>1535</v>
      </c>
      <c r="C511" s="53" t="str">
        <f ca="1">HYPERLINK("#" &amp; CELL("address", 'V1.52+V1.52-F'!$A$23), "V1.52-F")</f>
        <v>V1.52-F</v>
      </c>
      <c r="D511" s="53" t="str">
        <f ca="1">HYPERLINK("#" &amp; CELL("address", 'V1.52+V1.52-F'!$A$3), "Payment card type")</f>
        <v>Payment card type</v>
      </c>
      <c r="E511" s="53" t="str">
        <f ca="1">HYPERLINK("#" &amp; CELL("address", 'V1.52+V1.52-F'!$A$8), "Prepaid card")</f>
        <v>Prepaid card</v>
      </c>
      <c r="F511" s="49" t="str">
        <f>'V1.52+V1.52-F'!$B$8</f>
        <v>PRCA</v>
      </c>
      <c r="G511" s="53" t="str">
        <f ca="1">HYPERLINK("#" &amp; CELL("address", Concepts!$A$99), "Click here for definition")</f>
        <v>Click here for definition</v>
      </c>
    </row>
    <row r="512" spans="1:7" x14ac:dyDescent="0.2">
      <c r="A512">
        <v>511</v>
      </c>
      <c r="B512" t="s">
        <v>1535</v>
      </c>
      <c r="C512" s="53" t="str">
        <f ca="1">HYPERLINK("#" &amp; CELL("address", 'V1.52+V1.52-F'!$A$23), "V1.52-F")</f>
        <v>V1.52-F</v>
      </c>
      <c r="D512" s="53" t="str">
        <f ca="1">HYPERLINK("#" &amp; CELL("address", 'V1.52+V1.52-F'!$A$3), "Payment card type")</f>
        <v>Payment card type</v>
      </c>
      <c r="E512" s="53" t="str">
        <f ca="1">HYPERLINK("#" &amp; CELL("address", 'V1.52+V1.52-F'!$A$9), "Cards which give access to e-money stored on a software based e-money account")</f>
        <v>Cards which give access to e-money stored on a software based e-money account</v>
      </c>
      <c r="F512" s="49" t="str">
        <f>'V1.52+V1.52-F'!$B$9</f>
        <v>E1CA</v>
      </c>
      <c r="G512" s="53" t="str">
        <f ca="1">HYPERLINK("#" &amp; CELL("address", Concepts!$A$182), "Click here for definition")</f>
        <v>Click here for definition</v>
      </c>
    </row>
    <row r="513" spans="1:7" x14ac:dyDescent="0.2">
      <c r="A513">
        <v>512</v>
      </c>
      <c r="B513" t="s">
        <v>1535</v>
      </c>
      <c r="C513" s="53" t="str">
        <f ca="1">HYPERLINK("#" &amp; CELL("address", 'V1.52+V1.52-F'!$A$23), "V1.52-F")</f>
        <v>V1.52-F</v>
      </c>
      <c r="D513" s="53" t="str">
        <f ca="1">HYPERLINK("#" &amp; CELL("address", 'V1.52+V1.52-F'!$A$3), "Payment card type")</f>
        <v>Payment card type</v>
      </c>
      <c r="E513" s="53" t="str">
        <f ca="1">HYPERLINK("#" &amp; CELL("address", 'V1.52+V1.52-F'!$A$10), "One-off card")</f>
        <v>One-off card</v>
      </c>
      <c r="F513" s="49" t="str">
        <f>'V1.52+V1.52-F'!$B$10</f>
        <v>ONCA</v>
      </c>
      <c r="G513" s="53" t="str">
        <f ca="1">HYPERLINK("#" &amp; CELL("address", Concepts!$A$100), "Click here for definition")</f>
        <v>Click here for definition</v>
      </c>
    </row>
    <row r="514" spans="1:7" x14ac:dyDescent="0.2">
      <c r="A514">
        <v>513</v>
      </c>
      <c r="B514" t="s">
        <v>1535</v>
      </c>
      <c r="C514" s="53" t="str">
        <f ca="1">HYPERLINK("#" &amp; CELL("address", 'V1.52+V1.52-F'!$A$23), "V1.52-F")</f>
        <v>V1.52-F</v>
      </c>
      <c r="D514" s="53" t="str">
        <f ca="1">HYPERLINK("#" &amp; CELL("address", 'V1.52+V1.52-F'!$A$3), "Payment card type")</f>
        <v>Payment card type</v>
      </c>
      <c r="E514" s="53" t="str">
        <f ca="1">HYPERLINK("#" &amp; CELL("address", 'V1.52+V1.52-F'!$A$11), "Other")</f>
        <v>Other</v>
      </c>
      <c r="F514" s="49" t="str">
        <f>'V1.52+V1.52-F'!$B$11</f>
        <v>OTHR</v>
      </c>
      <c r="G514" s="53" t="str">
        <f ca="1">HYPERLINK("#" &amp; CELL("address", Concepts!$A$101), "Click here for definition")</f>
        <v>Click here for definition</v>
      </c>
    </row>
    <row r="515" spans="1:7" x14ac:dyDescent="0.2">
      <c r="A515">
        <v>514</v>
      </c>
      <c r="B515" t="s">
        <v>1535</v>
      </c>
      <c r="C515" s="53" t="str">
        <f ca="1">HYPERLINK("#" &amp; CELL("address", 'V1.52+V1.52-F'!$A$23), "V1.52-F")</f>
        <v>V1.52-F</v>
      </c>
      <c r="D515" s="53" t="str">
        <f ca="1">HYPERLINK("#" &amp; CELL("address", 'V1.52+V1.52-F'!$C$3), "Payment card scheme")</f>
        <v>Payment card scheme</v>
      </c>
      <c r="E515" s="53" t="str">
        <f ca="1">HYPERLINK("#" &amp; CELL("address", 'V1.52+V1.52-F'!$C$4), "Mastercard")</f>
        <v>Mastercard</v>
      </c>
      <c r="F515" s="49" t="str">
        <f>'V1.52+V1.52-F'!$D$4</f>
        <v>MSTR</v>
      </c>
      <c r="G515" s="53"/>
    </row>
    <row r="516" spans="1:7" x14ac:dyDescent="0.2">
      <c r="A516">
        <v>515</v>
      </c>
      <c r="B516" t="s">
        <v>1535</v>
      </c>
      <c r="C516" s="53" t="str">
        <f ca="1">HYPERLINK("#" &amp; CELL("address", 'V1.52+V1.52-F'!$A$23), "V1.52-F")</f>
        <v>V1.52-F</v>
      </c>
      <c r="D516" s="53" t="str">
        <f ca="1">HYPERLINK("#" &amp; CELL("address", 'V1.52+V1.52-F'!$C$3), "Payment card scheme")</f>
        <v>Payment card scheme</v>
      </c>
      <c r="E516" s="53" t="str">
        <f ca="1">HYPERLINK("#" &amp; CELL("address", 'V1.52+V1.52-F'!$C$5), "VISA - Vpay")</f>
        <v>VISA - Vpay</v>
      </c>
      <c r="F516" s="49" t="str">
        <f>'V1.52+V1.52-F'!$D$5</f>
        <v>VPAY</v>
      </c>
      <c r="G516" s="53"/>
    </row>
    <row r="517" spans="1:7" x14ac:dyDescent="0.2">
      <c r="A517">
        <v>516</v>
      </c>
      <c r="B517" t="s">
        <v>1535</v>
      </c>
      <c r="C517" s="53" t="str">
        <f ca="1">HYPERLINK("#" &amp; CELL("address", 'V1.52+V1.52-F'!$A$23), "V1.52-F")</f>
        <v>V1.52-F</v>
      </c>
      <c r="D517" s="53" t="str">
        <f ca="1">HYPERLINK("#" &amp; CELL("address", 'V1.52+V1.52-F'!$C$3), "Payment card scheme")</f>
        <v>Payment card scheme</v>
      </c>
      <c r="E517" s="53" t="str">
        <f ca="1">HYPERLINK("#" &amp; CELL("address", 'V1.52+V1.52-F'!$C$6), "VISA")</f>
        <v>VISA</v>
      </c>
      <c r="F517" s="49" t="str">
        <f>'V1.52+V1.52-F'!$D$6</f>
        <v>VISA</v>
      </c>
      <c r="G517" s="53"/>
    </row>
    <row r="518" spans="1:7" x14ac:dyDescent="0.2">
      <c r="A518">
        <v>517</v>
      </c>
      <c r="B518" t="s">
        <v>1535</v>
      </c>
      <c r="C518" s="53" t="str">
        <f ca="1">HYPERLINK("#" &amp; CELL("address", 'V1.52+V1.52-F'!$A$23), "V1.52-F")</f>
        <v>V1.52-F</v>
      </c>
      <c r="D518" s="53" t="str">
        <f ca="1">HYPERLINK("#" &amp; CELL("address", 'V1.52+V1.52-F'!$C$3), "Payment card scheme")</f>
        <v>Payment card scheme</v>
      </c>
      <c r="E518" s="53" t="str">
        <f ca="1">HYPERLINK("#" &amp; CELL("address", 'V1.52+V1.52-F'!$C$7), "China UnionPay")</f>
        <v>China UnionPay</v>
      </c>
      <c r="F518" s="49" t="str">
        <f>'V1.52+V1.52-F'!$D$7</f>
        <v>CHUP</v>
      </c>
      <c r="G518" s="53"/>
    </row>
    <row r="519" spans="1:7" x14ac:dyDescent="0.2">
      <c r="A519">
        <v>518</v>
      </c>
      <c r="B519" t="s">
        <v>1535</v>
      </c>
      <c r="C519" s="53" t="str">
        <f ca="1">HYPERLINK("#" &amp; CELL("address", 'V1.52+V1.52-F'!$A$23), "V1.52-F")</f>
        <v>V1.52-F</v>
      </c>
      <c r="D519" s="53" t="str">
        <f ca="1">HYPERLINK("#" &amp; CELL("address", 'V1.52+V1.52-F'!$C$3), "Payment card scheme")</f>
        <v>Payment card scheme</v>
      </c>
      <c r="E519" s="53" t="str">
        <f ca="1">HYPERLINK("#" &amp; CELL("address", 'V1.52+V1.52-F'!$C$8), "Japan Credit Bureau (JCB)")</f>
        <v>Japan Credit Bureau (JCB)</v>
      </c>
      <c r="F519" s="49" t="str">
        <f>'V1.52+V1.52-F'!$D$8</f>
        <v>JCCB</v>
      </c>
      <c r="G519" s="53"/>
    </row>
    <row r="520" spans="1:7" x14ac:dyDescent="0.2">
      <c r="A520">
        <v>519</v>
      </c>
      <c r="B520" t="s">
        <v>1535</v>
      </c>
      <c r="C520" s="53" t="str">
        <f ca="1">HYPERLINK("#" &amp; CELL("address", 'V1.52+V1.52-F'!$A$23), "V1.52-F")</f>
        <v>V1.52-F</v>
      </c>
      <c r="D520" s="53" t="str">
        <f ca="1">HYPERLINK("#" &amp; CELL("address", 'V1.52+V1.52-F'!$C$3), "Payment card scheme")</f>
        <v>Payment card scheme</v>
      </c>
      <c r="E520" s="53" t="str">
        <f ca="1">HYPERLINK("#" &amp; CELL("address", 'V1.52+V1.52-F'!$C$9), "American Express")</f>
        <v>American Express</v>
      </c>
      <c r="F520" s="49" t="str">
        <f>'V1.52+V1.52-F'!$D$9</f>
        <v>AMEX</v>
      </c>
      <c r="G520" s="53"/>
    </row>
    <row r="521" spans="1:7" x14ac:dyDescent="0.2">
      <c r="A521">
        <v>520</v>
      </c>
      <c r="B521" t="s">
        <v>1535</v>
      </c>
      <c r="C521" s="53" t="str">
        <f ca="1">HYPERLINK("#" &amp; CELL("address", 'V1.52+V1.52-F'!$A$23), "V1.52-F")</f>
        <v>V1.52-F</v>
      </c>
      <c r="D521" s="53" t="str">
        <f ca="1">HYPERLINK("#" &amp; CELL("address", 'V1.52+V1.52-F'!$C$3), "Payment card scheme")</f>
        <v>Payment card scheme</v>
      </c>
      <c r="E521" s="53" t="str">
        <f ca="1">HYPERLINK("#" &amp; CELL("address", 'V1.52+V1.52-F'!$C$10), "Diner's club")</f>
        <v>Diner's club</v>
      </c>
      <c r="F521" s="49" t="str">
        <f>'V1.52+V1.52-F'!$D$10</f>
        <v>DICL</v>
      </c>
      <c r="G521" s="53"/>
    </row>
    <row r="522" spans="1:7" x14ac:dyDescent="0.2">
      <c r="A522">
        <v>521</v>
      </c>
      <c r="B522" t="s">
        <v>1535</v>
      </c>
      <c r="C522" s="53" t="str">
        <f ca="1">HYPERLINK("#" &amp; CELL("address", 'V1.52+V1.52-F'!$A$23), "V1.52-F")</f>
        <v>V1.52-F</v>
      </c>
      <c r="D522" s="53" t="str">
        <f ca="1">HYPERLINK("#" &amp; CELL("address", 'V1.52+V1.52-F'!$C$3), "Payment card scheme")</f>
        <v>Payment card scheme</v>
      </c>
      <c r="E522" s="53" t="str">
        <f ca="1">HYPERLINK("#" &amp; CELL("address", 'V1.52+V1.52-F'!$C$11), "Proprietary")</f>
        <v>Proprietary</v>
      </c>
      <c r="F522" s="49" t="str">
        <f>'V1.52+V1.52-F'!$D$11</f>
        <v>PROP</v>
      </c>
      <c r="G522" s="53" t="str">
        <f ca="1">HYPERLINK("#" &amp; CELL("address", Concepts!$A$104), "Click here for definition")</f>
        <v>Click here for definition</v>
      </c>
    </row>
    <row r="523" spans="1:7" x14ac:dyDescent="0.2">
      <c r="A523">
        <v>522</v>
      </c>
      <c r="B523" t="s">
        <v>1535</v>
      </c>
      <c r="C523" s="53" t="str">
        <f ca="1">HYPERLINK("#" &amp; CELL("address", 'V1.52+V1.52-F'!$A$23), "V1.52-F")</f>
        <v>V1.52-F</v>
      </c>
      <c r="D523" s="53" t="str">
        <f ca="1">HYPERLINK("#" &amp; CELL("address", 'V1.52+V1.52-F'!$C$3), "Payment card scheme")</f>
        <v>Payment card scheme</v>
      </c>
      <c r="E523" s="53" t="str">
        <f ca="1">HYPERLINK("#" &amp; CELL("address", 'V1.52+V1.52-F'!$C$12), "Other")</f>
        <v>Other</v>
      </c>
      <c r="F523" s="49" t="str">
        <f>'V1.52+V1.52-F'!$D$12</f>
        <v>OTHR</v>
      </c>
      <c r="G523" s="53"/>
    </row>
    <row r="524" spans="1:7" x14ac:dyDescent="0.2">
      <c r="A524">
        <v>523</v>
      </c>
      <c r="B524" t="s">
        <v>1535</v>
      </c>
      <c r="C524" s="53" t="str">
        <f ca="1">HYPERLINK("#" &amp; CELL("address", 'V1.52+V1.52-F'!$A$23), "V1.52-F")</f>
        <v>V1.52-F</v>
      </c>
      <c r="D524" s="53" t="str">
        <f ca="1">HYPERLINK("#" &amp; CELL("address", 'V1.52+V1.52-F'!$E$3), "Terminal type")</f>
        <v>Terminal type</v>
      </c>
      <c r="E524" s="53" t="str">
        <f ca="1">HYPERLINK("#" &amp; CELL("address", 'V1.52+V1.52-F'!$E$4), "ATM")</f>
        <v>ATM</v>
      </c>
      <c r="F524" s="49" t="str">
        <f>'V1.52+V1.52-F'!$F$4</f>
        <v>TATM</v>
      </c>
      <c r="G524" s="53" t="str">
        <f ca="1">HYPERLINK("#" &amp; CELL("address", Concepts!$A$105), "Click here for definition")</f>
        <v>Click here for definition</v>
      </c>
    </row>
    <row r="525" spans="1:7" x14ac:dyDescent="0.2">
      <c r="A525">
        <v>524</v>
      </c>
      <c r="B525" t="s">
        <v>1535</v>
      </c>
      <c r="C525" s="53" t="str">
        <f ca="1">HYPERLINK("#" &amp; CELL("address", 'V1.52+V1.52-F'!$A$23), "V1.52-F")</f>
        <v>V1.52-F</v>
      </c>
      <c r="D525" s="53" t="str">
        <f ca="1">HYPERLINK("#" &amp; CELL("address", 'V1.52+V1.52-F'!$E$3), "Terminal type")</f>
        <v>Terminal type</v>
      </c>
      <c r="E525" s="53" t="str">
        <f ca="1">HYPERLINK("#" &amp; CELL("address", 'V1.52+V1.52-F'!$E$6), "EFTPOS")</f>
        <v>EFTPOS</v>
      </c>
      <c r="F525" s="49" t="str">
        <f>'V1.52+V1.52-F'!$F$6</f>
        <v>EPOS</v>
      </c>
      <c r="G525" s="53" t="str">
        <f ca="1">HYPERLINK("#" &amp; CELL("address", Concepts!$A$107), "Click here for definition")</f>
        <v>Click here for definition</v>
      </c>
    </row>
    <row r="526" spans="1:7" x14ac:dyDescent="0.2">
      <c r="A526">
        <v>525</v>
      </c>
      <c r="B526" t="s">
        <v>1535</v>
      </c>
      <c r="C526" s="53" t="str">
        <f ca="1">HYPERLINK("#" &amp; CELL("address", 'V1.52+V1.52-F'!$A$23), "V1.52-F")</f>
        <v>V1.52-F</v>
      </c>
      <c r="D526" s="53" t="str">
        <f ca="1">HYPERLINK("#" &amp; CELL("address", 'V1.52+V1.52-F'!$E$3), "Terminal type")</f>
        <v>Terminal type</v>
      </c>
      <c r="E526" s="53" t="str">
        <f ca="1">HYPERLINK("#" &amp; CELL("address", 'V1.52+V1.52-F'!$E$7), "Imprinter")</f>
        <v>Imprinter</v>
      </c>
      <c r="F526" s="49" t="str">
        <f>'V1.52+V1.52-F'!$F$7</f>
        <v>IMPR</v>
      </c>
      <c r="G526" s="53" t="str">
        <f ca="1">HYPERLINK("#" &amp; CELL("address", Concepts!$A$108), "Click here for definition")</f>
        <v>Click here for definition</v>
      </c>
    </row>
    <row r="527" spans="1:7" x14ac:dyDescent="0.2">
      <c r="A527">
        <v>526</v>
      </c>
      <c r="B527" t="s">
        <v>1535</v>
      </c>
      <c r="C527" s="53" t="str">
        <f ca="1">HYPERLINK("#" &amp; CELL("address", 'V1.52+V1.52-F'!$A$23), "V1.52-F")</f>
        <v>V1.52-F</v>
      </c>
      <c r="D527" s="53" t="str">
        <f ca="1">HYPERLINK("#" &amp; CELL("address", 'V1.52+V1.52-F'!$E$3), "Terminal type")</f>
        <v>Terminal type</v>
      </c>
      <c r="E527" s="53" t="str">
        <f ca="1">HYPERLINK("#" &amp; CELL("address", 'V1.52+V1.52-F'!$E$8), "E-commerce")</f>
        <v>E-commerce</v>
      </c>
      <c r="F527" s="49" t="str">
        <f>'V1.52+V1.52-F'!$F$8</f>
        <v>ECOM</v>
      </c>
      <c r="G527" s="53" t="str">
        <f ca="1">HYPERLINK("#" &amp; CELL("address", Concepts!$A$109), "Click here for definition")</f>
        <v>Click here for definition</v>
      </c>
    </row>
    <row r="528" spans="1:7" x14ac:dyDescent="0.2">
      <c r="A528">
        <v>527</v>
      </c>
      <c r="B528" t="s">
        <v>1535</v>
      </c>
      <c r="C528" s="53" t="str">
        <f ca="1">HYPERLINK("#" &amp; CELL("address", 'V1.52+V1.52-F'!$A$23), "V1.52-F")</f>
        <v>V1.52-F</v>
      </c>
      <c r="D528" s="53" t="str">
        <f ca="1">HYPERLINK("#" &amp; CELL("address", 'V1.52+V1.52-F'!$E$3), "Terminal type")</f>
        <v>Terminal type</v>
      </c>
      <c r="E528" s="53" t="str">
        <f ca="1">HYPERLINK("#" &amp; CELL("address", 'V1.52+V1.52-F'!$E$9), "MOTO")</f>
        <v>MOTO</v>
      </c>
      <c r="F528" s="49" t="str">
        <f>'V1.52+V1.52-F'!$F$9</f>
        <v>MOTO</v>
      </c>
      <c r="G528" s="53" t="str">
        <f ca="1">HYPERLINK("#" &amp; CELL("address", Concepts!$A$110), "Click here for definition")</f>
        <v>Click here for definition</v>
      </c>
    </row>
    <row r="529" spans="1:7" x14ac:dyDescent="0.2">
      <c r="A529">
        <v>528</v>
      </c>
      <c r="B529" t="s">
        <v>1535</v>
      </c>
      <c r="C529" s="53" t="str">
        <f ca="1">HYPERLINK("#" &amp; CELL("address", 'V1.52+V1.52-F'!$A$23), "V1.52-F")</f>
        <v>V1.52-F</v>
      </c>
      <c r="D529" s="53" t="str">
        <f ca="1">HYPERLINK("#" &amp; CELL("address", 'V1.52+V1.52-F'!$E$3), "Terminal type")</f>
        <v>Terminal type</v>
      </c>
      <c r="E529" s="53" t="str">
        <f ca="1">HYPERLINK("#" &amp; CELL("address", 'V1.52+V1.52-F'!$E$10), "Other")</f>
        <v>Other</v>
      </c>
      <c r="F529" s="49" t="str">
        <f>'V1.52+V1.52-F'!$F$10</f>
        <v>OTHR</v>
      </c>
      <c r="G529" s="53"/>
    </row>
    <row r="530" spans="1:7" x14ac:dyDescent="0.2">
      <c r="A530">
        <v>529</v>
      </c>
      <c r="B530" t="s">
        <v>1535</v>
      </c>
      <c r="C530" s="53" t="str">
        <f ca="1">HYPERLINK("#" &amp; CELL("address", 'V1.52+V1.52-F'!$A$23), "V1.52-F")</f>
        <v>V1.52-F</v>
      </c>
      <c r="D530" s="53" t="str">
        <f ca="1">HYPERLINK("#" &amp; CELL("address", 'V1.52+V1.52-F'!$G$3), "Operation type")</f>
        <v>Operation type</v>
      </c>
      <c r="E530" s="53" t="str">
        <f ca="1">HYPERLINK("#" &amp; CELL("address", 'V1.52+V1.52-F'!$G$26), "Sales")</f>
        <v>Sales</v>
      </c>
      <c r="F530" s="49" t="str">
        <f>'V1.52+V1.52-F'!$H$26</f>
        <v>SALE</v>
      </c>
      <c r="G530" s="53" t="str">
        <f ca="1">HYPERLINK("#" &amp; CELL("address", Concepts!$A$111), "Click here for definition")</f>
        <v>Click here for definition</v>
      </c>
    </row>
    <row r="531" spans="1:7" x14ac:dyDescent="0.2">
      <c r="A531">
        <v>530</v>
      </c>
      <c r="B531" t="s">
        <v>1535</v>
      </c>
      <c r="C531" s="53" t="str">
        <f ca="1">HYPERLINK("#" &amp; CELL("address", 'V1.52+V1.52-F'!$A$23), "V1.52-F")</f>
        <v>V1.52-F</v>
      </c>
      <c r="D531" s="53" t="str">
        <f ca="1">HYPERLINK("#" &amp; CELL("address", 'V1.52+V1.52-F'!$G$3), "Operation type")</f>
        <v>Operation type</v>
      </c>
      <c r="E531" s="53" t="str">
        <f ca="1">HYPERLINK("#" &amp; CELL("address", 'V1.52+V1.52-F'!$G$27), "Cash advance at a POS terminal")</f>
        <v>Cash advance at a POS terminal</v>
      </c>
      <c r="F531" s="49" t="str">
        <f>'V1.52+V1.52-F'!$H$27</f>
        <v>CADV</v>
      </c>
      <c r="G531" s="53" t="str">
        <f ca="1">HYPERLINK("#" &amp; CELL("address", Concepts!$A$114), "Click here for definition")</f>
        <v>Click here for definition</v>
      </c>
    </row>
    <row r="532" spans="1:7" x14ac:dyDescent="0.2">
      <c r="A532">
        <v>531</v>
      </c>
      <c r="B532" t="s">
        <v>1535</v>
      </c>
      <c r="C532" s="53" t="str">
        <f ca="1">HYPERLINK("#" &amp; CELL("address", 'V1.52+V1.52-F'!$A$23), "V1.52-F")</f>
        <v>V1.52-F</v>
      </c>
      <c r="D532" s="53" t="str">
        <f ca="1">HYPERLINK("#" &amp; CELL("address", 'V1.52+V1.52-F'!$G$3), "Operation type")</f>
        <v>Operation type</v>
      </c>
      <c r="E532" s="53" t="str">
        <f ca="1">HYPERLINK("#" &amp; CELL("address", 'V1.52+V1.52-F'!$G$28), "ATM cash withdrawal")</f>
        <v>ATM cash withdrawal</v>
      </c>
      <c r="F532" s="49" t="str">
        <f>'V1.52+V1.52-F'!$H$28</f>
        <v>ATMW</v>
      </c>
      <c r="G532" s="53" t="str">
        <f ca="1">HYPERLINK("#" &amp; CELL("address", Concepts!$A$115), "Click here for definition")</f>
        <v>Click here for definition</v>
      </c>
    </row>
    <row r="533" spans="1:7" x14ac:dyDescent="0.2">
      <c r="A533">
        <v>532</v>
      </c>
      <c r="B533" t="s">
        <v>1535</v>
      </c>
      <c r="C533" s="53" t="str">
        <f ca="1">HYPERLINK("#" &amp; CELL("address", 'V1.52+V1.52-F'!$A$23), "V1.52-F")</f>
        <v>V1.52-F</v>
      </c>
      <c r="D533" s="53" t="str">
        <f ca="1">HYPERLINK("#" &amp; CELL("address", 'V1.52+V1.52-F'!$G$3), "Operation type")</f>
        <v>Operation type</v>
      </c>
      <c r="E533" s="53" t="str">
        <f ca="1">HYPERLINK("#" &amp; CELL("address", 'V1.52+V1.52-F'!$G$29), "Other debit operation")</f>
        <v>Other debit operation</v>
      </c>
      <c r="F533" s="49" t="str">
        <f>'V1.52+V1.52-F'!$H$29</f>
        <v>OTHD</v>
      </c>
      <c r="G533" s="53"/>
    </row>
    <row r="534" spans="1:7" x14ac:dyDescent="0.2">
      <c r="A534">
        <v>533</v>
      </c>
      <c r="B534" t="s">
        <v>1535</v>
      </c>
      <c r="C534" s="53" t="str">
        <f ca="1">HYPERLINK("#" &amp; CELL("address", 'V1.52+V1.52-F'!$A$23), "V1.52-F")</f>
        <v>V1.52-F</v>
      </c>
      <c r="D534" s="53" t="str">
        <f ca="1">HYPERLINK("#" &amp; CELL("address", 'V1.52+V1.52-F'!$I$3), "Initiation channel")</f>
        <v>Initiation channel</v>
      </c>
      <c r="E534" s="53" t="str">
        <f ca="1">HYPERLINK("#" &amp; CELL("address", 'V1.52+V1.52-F'!$I$5), "Contact-based transaction")</f>
        <v>Contact-based transaction</v>
      </c>
      <c r="F534" s="49" t="str">
        <f>'V1.52+V1.52-F'!$J$5</f>
        <v>CNTR</v>
      </c>
      <c r="G534" s="53" t="str">
        <f ca="1">HYPERLINK("#" &amp; CELL("address", Concepts!$A$117), "Click here for definition")</f>
        <v>Click here for definition</v>
      </c>
    </row>
    <row r="535" spans="1:7" x14ac:dyDescent="0.2">
      <c r="A535">
        <v>534</v>
      </c>
      <c r="B535" t="s">
        <v>1535</v>
      </c>
      <c r="C535" s="53" t="str">
        <f ca="1">HYPERLINK("#" &amp; CELL("address", 'V1.52+V1.52-F'!$A$23), "V1.52-F")</f>
        <v>V1.52-F</v>
      </c>
      <c r="D535" s="53" t="str">
        <f ca="1">HYPERLINK("#" &amp; CELL("address", 'V1.52+V1.52-F'!$I$3), "Initiation channel")</f>
        <v>Initiation channel</v>
      </c>
      <c r="E535" s="53" t="str">
        <f ca="1">HYPERLINK("#" &amp; CELL("address", 'V1.52+V1.52-F'!$I$7), "using NFC")</f>
        <v>using NFC</v>
      </c>
      <c r="F535" s="49" t="str">
        <f>'V1.52+V1.52-F'!$J$7</f>
        <v>CNFC</v>
      </c>
      <c r="G535" s="53" t="str">
        <f ca="1">HYPERLINK("#" &amp; CELL("address", Concepts!$A$120), "Click here for definition")</f>
        <v>Click here for definition</v>
      </c>
    </row>
    <row r="536" spans="1:7" x14ac:dyDescent="0.2">
      <c r="A536">
        <v>535</v>
      </c>
      <c r="B536" t="s">
        <v>1535</v>
      </c>
      <c r="C536" s="53" t="str">
        <f ca="1">HYPERLINK("#" &amp; CELL("address", 'V1.52+V1.52-F'!$A$23), "V1.52-F")</f>
        <v>V1.52-F</v>
      </c>
      <c r="D536" s="53" t="str">
        <f ca="1">HYPERLINK("#" &amp; CELL("address", 'V1.52+V1.52-F'!$I$3), "Initiation channel")</f>
        <v>Initiation channel</v>
      </c>
      <c r="E536" s="53" t="str">
        <f ca="1">HYPERLINK("#" &amp; CELL("address", 'V1.52+V1.52-F'!$I$8), "using other technology")</f>
        <v>using other technology</v>
      </c>
      <c r="F536" s="49" t="str">
        <f>'V1.52+V1.52-F'!$J$8</f>
        <v>OCLS</v>
      </c>
      <c r="G536" s="53" t="str">
        <f ca="1">HYPERLINK("#" &amp; CELL("address", Concepts!$A$121), "Click here for definition")</f>
        <v>Click here for definition</v>
      </c>
    </row>
    <row r="537" spans="1:7" x14ac:dyDescent="0.2">
      <c r="A537">
        <v>536</v>
      </c>
      <c r="B537" t="s">
        <v>1535</v>
      </c>
      <c r="C537" s="53" t="str">
        <f ca="1">HYPERLINK("#" &amp; CELL("address", 'V1.52+V1.52-F'!$A$23), "V1.52-F")</f>
        <v>V1.52-F</v>
      </c>
      <c r="D537" s="53" t="str">
        <f ca="1">HYPERLINK("#" &amp; CELL("address", 'V1.52+V1.52-F'!$I$3), "Initiation channel")</f>
        <v>Initiation channel</v>
      </c>
      <c r="E537" s="53" t="str">
        <f ca="1">HYPERLINK("#" &amp; CELL("address", 'V1.52+V1.52-F'!$I$10), "Remote card transaction")</f>
        <v>Remote card transaction</v>
      </c>
      <c r="F537" s="49" t="str">
        <f>'V1.52+V1.52-F'!$J$10</f>
        <v>RMTR</v>
      </c>
      <c r="G537" s="53" t="str">
        <f ca="1">HYPERLINK("#" &amp; CELL("address", Concepts!$A$118), "Click here for definition")</f>
        <v>Click here for definition</v>
      </c>
    </row>
    <row r="538" spans="1:7" x14ac:dyDescent="0.2">
      <c r="A538">
        <v>537</v>
      </c>
      <c r="B538" t="s">
        <v>1535</v>
      </c>
      <c r="C538" s="53" t="str">
        <f ca="1">HYPERLINK("#" &amp; CELL("address", 'V1.52+V1.52-F'!$A$23), "V1.52-F")</f>
        <v>V1.52-F</v>
      </c>
      <c r="D538" s="53" t="str">
        <f ca="1">HYPERLINK("#" &amp; CELL("address", 'V1.52+V1.52-F'!$I$3), "Initiation channel")</f>
        <v>Initiation channel</v>
      </c>
      <c r="E538" s="53" t="str">
        <f ca="1">HYPERLINK("#" &amp; CELL("address", 'V1.52+V1.52-F'!$I$12), "P2P MPS")</f>
        <v>P2P MPS</v>
      </c>
      <c r="F538" s="49" t="str">
        <f>'V1.52+V1.52-F'!$J$12</f>
        <v>P2PM</v>
      </c>
      <c r="G538" s="53" t="str">
        <f ca="1">HYPERLINK("#" &amp; CELL("address", Concepts!$A$40), "Click here for definition")</f>
        <v>Click here for definition</v>
      </c>
    </row>
    <row r="539" spans="1:7" x14ac:dyDescent="0.2">
      <c r="A539">
        <v>538</v>
      </c>
      <c r="B539" t="s">
        <v>1535</v>
      </c>
      <c r="C539" s="53" t="str">
        <f ca="1">HYPERLINK("#" &amp; CELL("address", 'V1.52+V1.52-F'!$A$23), "V1.52-F")</f>
        <v>V1.52-F</v>
      </c>
      <c r="D539" s="53" t="str">
        <f ca="1">HYPERLINK("#" &amp; CELL("address", 'V1.52+V1.52-F'!$I$3), "Initiation channel")</f>
        <v>Initiation channel</v>
      </c>
      <c r="E539" s="53" t="str">
        <f ca="1">HYPERLINK("#" &amp; CELL("address", 'V1.52+V1.52-F'!$I$13), "Other MPS")</f>
        <v>Other MPS</v>
      </c>
      <c r="F539" s="49" t="str">
        <f>'V1.52+V1.52-F'!$J$13</f>
        <v>OMPS</v>
      </c>
      <c r="G539" s="53" t="str">
        <f ca="1">HYPERLINK("#" &amp; CELL("address", Concepts!$A$41), "Click here for definition")</f>
        <v>Click here for definition</v>
      </c>
    </row>
    <row r="540" spans="1:7" x14ac:dyDescent="0.2">
      <c r="A540">
        <v>539</v>
      </c>
      <c r="B540" t="s">
        <v>1535</v>
      </c>
      <c r="C540" s="53" t="str">
        <f ca="1">HYPERLINK("#" &amp; CELL("address", 'V1.52+V1.52-F'!$A$23), "V1.52-F")</f>
        <v>V1.52-F</v>
      </c>
      <c r="D540" s="53" t="str">
        <f ca="1">HYPERLINK("#" &amp; CELL("address", 'V1.52+V1.52-F'!$I$3), "Initiation channel")</f>
        <v>Initiation channel</v>
      </c>
      <c r="E540" s="53" t="str">
        <f ca="1">HYPERLINK("#" &amp; CELL("address", 'V1.52+V1.52-F'!$I$14), "Other")</f>
        <v>Other</v>
      </c>
      <c r="F540" s="49" t="str">
        <f>'V1.52+V1.52-F'!$J$14</f>
        <v>OTHR</v>
      </c>
      <c r="G540" s="53"/>
    </row>
    <row r="541" spans="1:7" x14ac:dyDescent="0.2">
      <c r="A541">
        <v>540</v>
      </c>
      <c r="B541" t="s">
        <v>1535</v>
      </c>
      <c r="C541" s="53" t="str">
        <f ca="1">HYPERLINK("#" &amp; CELL("address", 'V1.52+V1.52-F'!$A$23), "V1.52-F")</f>
        <v>V1.52-F</v>
      </c>
      <c r="D541" s="53" t="str">
        <f ca="1">HYPERLINK("#" &amp; CELL("address", 'V1.52+V1.52-F'!$K$3), "Initiation sub-channel")</f>
        <v>Initiation sub-channel</v>
      </c>
      <c r="E541" s="53" t="str">
        <f ca="1">HYPERLINK("#" &amp; CELL("address", 'V1.52+V1.52-F'!$K$4), "Remote")</f>
        <v>Remote</v>
      </c>
      <c r="F541" s="49" t="str">
        <f>'V1.52+V1.52-F'!$L$4</f>
        <v>REM1</v>
      </c>
      <c r="G541" s="53" t="str">
        <f ca="1">HYPERLINK("#" &amp; CELL("address", Concepts!$A$43), "Click here for definition")</f>
        <v>Click here for definition</v>
      </c>
    </row>
    <row r="542" spans="1:7" x14ac:dyDescent="0.2">
      <c r="A542">
        <v>541</v>
      </c>
      <c r="B542" t="s">
        <v>1535</v>
      </c>
      <c r="C542" s="53" t="str">
        <f ca="1">HYPERLINK("#" &amp; CELL("address", 'V1.52+V1.52-F'!$A$23), "V1.52-F")</f>
        <v>V1.52-F</v>
      </c>
      <c r="D542" s="53" t="str">
        <f ca="1">HYPERLINK("#" &amp; CELL("address", 'V1.52+V1.52-F'!$K$3), "Initiation sub-channel")</f>
        <v>Initiation sub-channel</v>
      </c>
      <c r="E542" s="53" t="str">
        <f ca="1">HYPERLINK("#" &amp; CELL("address", 'V1.52+V1.52-F'!$K$5), "Non-remote")</f>
        <v>Non-remote</v>
      </c>
      <c r="F542" s="49" t="str">
        <f>'V1.52+V1.52-F'!$L$5</f>
        <v>REM0</v>
      </c>
      <c r="G542" s="53" t="str">
        <f ca="1">HYPERLINK("#" &amp; CELL("address", Concepts!$A$44), "Click here for definition")</f>
        <v>Click here for definition</v>
      </c>
    </row>
    <row r="543" spans="1:7" x14ac:dyDescent="0.2">
      <c r="A543">
        <v>542</v>
      </c>
      <c r="B543" t="s">
        <v>1535</v>
      </c>
      <c r="C543" s="53" t="str">
        <f ca="1">HYPERLINK("#" &amp; CELL("address", 'V1.52+V1.52-F'!$A$23), "V1.52-F")</f>
        <v>V1.52-F</v>
      </c>
      <c r="D543" s="53" t="str">
        <f ca="1">HYPERLINK("#" &amp; CELL("address", 'V1.52+V1.52-F'!$M$3), "SCA")</f>
        <v>SCA</v>
      </c>
      <c r="E543" s="53" t="str">
        <f ca="1">HYPERLINK("#" &amp; CELL("address", 'V1.52+V1.52-F'!$M$4), "SCA used")</f>
        <v>SCA used</v>
      </c>
      <c r="F543" s="49" t="str">
        <f>'V1.52+V1.52-F'!$N$4</f>
        <v>SCA1</v>
      </c>
      <c r="G543" s="53" t="str">
        <f ca="1">HYPERLINK("#" &amp; CELL("address", Concepts!$A$47), "Click here for definition")</f>
        <v>Click here for definition</v>
      </c>
    </row>
    <row r="544" spans="1:7" x14ac:dyDescent="0.2">
      <c r="A544">
        <v>543</v>
      </c>
      <c r="B544" t="s">
        <v>1535</v>
      </c>
      <c r="C544" s="53" t="str">
        <f ca="1">HYPERLINK("#" &amp; CELL("address", 'V1.52+V1.52-F'!$A$23), "V1.52-F")</f>
        <v>V1.52-F</v>
      </c>
      <c r="D544" s="53" t="str">
        <f ca="1">HYPERLINK("#" &amp; CELL("address", 'V1.52+V1.52-F'!$M$3), "SCA")</f>
        <v>SCA</v>
      </c>
      <c r="E544" s="53" t="str">
        <f ca="1">HYPERLINK("#" &amp; CELL("address", 'V1.52+V1.52-F'!$M$7), "Recurring transaction")</f>
        <v>Recurring transaction</v>
      </c>
      <c r="F544" s="49" t="str">
        <f>'V1.52+V1.52-F'!$N$7</f>
        <v>RETR</v>
      </c>
      <c r="G544" s="53" t="str">
        <f ca="1">HYPERLINK("#" &amp; CELL("address", Concepts!$A$51), "Click here for definition")</f>
        <v>Click here for definition</v>
      </c>
    </row>
    <row r="545" spans="1:7" x14ac:dyDescent="0.2">
      <c r="A545">
        <v>544</v>
      </c>
      <c r="B545" t="s">
        <v>1535</v>
      </c>
      <c r="C545" s="53" t="str">
        <f ca="1">HYPERLINK("#" &amp; CELL("address", 'V1.52+V1.52-F'!$A$23), "V1.52-F")</f>
        <v>V1.52-F</v>
      </c>
      <c r="D545" s="53" t="str">
        <f ca="1">HYPERLINK("#" &amp; CELL("address", 'V1.52+V1.52-F'!$M$3), "SCA")</f>
        <v>SCA</v>
      </c>
      <c r="E545" s="53" t="str">
        <f ca="1">HYPERLINK("#" &amp; CELL("address", 'V1.52+V1.52-F'!$M$8), "Other")</f>
        <v>Other</v>
      </c>
      <c r="F545" s="49" t="str">
        <f>'V1.52+V1.52-F'!$N$8</f>
        <v>OTHR</v>
      </c>
      <c r="G545" s="53" t="str">
        <f ca="1">HYPERLINK("#" &amp; CELL("address", Concepts!$A$58), "Click here for definition")</f>
        <v>Click here for definition</v>
      </c>
    </row>
    <row r="546" spans="1:7" x14ac:dyDescent="0.2">
      <c r="A546">
        <v>545</v>
      </c>
      <c r="B546" t="s">
        <v>1535</v>
      </c>
      <c r="C546" s="53" t="str">
        <f ca="1">HYPERLINK("#" &amp; CELL("address", 'V1.52+V1.52-F'!$A$23), "V1.52-F")</f>
        <v>V1.52-F</v>
      </c>
      <c r="D546" s="53" t="str">
        <f ca="1">HYPERLINK("#" &amp; CELL("address", 'V1.52+V1.52-F'!$M$3), "SCA")</f>
        <v>SCA</v>
      </c>
      <c r="E546" s="53" t="str">
        <f ca="1">HYPERLINK("#" &amp; CELL("address", 'V1.52+V1.52-F'!$M$10), "Contactless low value")</f>
        <v>Contactless low value</v>
      </c>
      <c r="F546" s="49" t="str">
        <f>'V1.52+V1.52-F'!$N$10</f>
        <v>CLOW</v>
      </c>
      <c r="G546" s="53" t="str">
        <f ca="1">HYPERLINK("#" &amp; CELL("address", Concepts!$A$52), "Click here for definition")</f>
        <v>Click here for definition</v>
      </c>
    </row>
    <row r="547" spans="1:7" x14ac:dyDescent="0.2">
      <c r="A547">
        <v>546</v>
      </c>
      <c r="B547" t="s">
        <v>1535</v>
      </c>
      <c r="C547" s="53" t="str">
        <f ca="1">HYPERLINK("#" &amp; CELL("address", 'V1.52+V1.52-F'!$A$23), "V1.52-F")</f>
        <v>V1.52-F</v>
      </c>
      <c r="D547" s="53" t="str">
        <f ca="1">HYPERLINK("#" &amp; CELL("address", 'V1.52+V1.52-F'!$M$3), "SCA")</f>
        <v>SCA</v>
      </c>
      <c r="E547" s="53" t="str">
        <f ca="1">HYPERLINK("#" &amp; CELL("address", 'V1.52+V1.52-F'!$M$11), "Unattended terminal for transport fares or parking fees")</f>
        <v>Unattended terminal for transport fares or parking fees</v>
      </c>
      <c r="F547" s="49" t="str">
        <f>'V1.52+V1.52-F'!$N$11</f>
        <v>UNTE</v>
      </c>
      <c r="G547" s="53" t="str">
        <f ca="1">HYPERLINK("#" &amp; CELL("address", Concepts!$A$53), "Click here for definition")</f>
        <v>Click here for definition</v>
      </c>
    </row>
    <row r="548" spans="1:7" x14ac:dyDescent="0.2">
      <c r="A548">
        <v>547</v>
      </c>
      <c r="B548" t="s">
        <v>1535</v>
      </c>
      <c r="C548" s="53" t="str">
        <f ca="1">HYPERLINK("#" &amp; CELL("address", 'V1.52+V1.52-F'!$A$23), "V1.52-F")</f>
        <v>V1.52-F</v>
      </c>
      <c r="D548" s="53" t="str">
        <f ca="1">HYPERLINK("#" &amp; CELL("address", 'V1.52+V1.52-F'!$M$3), "SCA")</f>
        <v>SCA</v>
      </c>
      <c r="E548" s="53" t="str">
        <f ca="1">HYPERLINK("#" &amp; CELL("address", 'V1.52+V1.52-F'!$M$13), "Low value")</f>
        <v>Low value</v>
      </c>
      <c r="F548" s="49" t="str">
        <f>'V1.52+V1.52-F'!$N$13</f>
        <v>RLOW</v>
      </c>
      <c r="G548" s="53" t="str">
        <f ca="1">HYPERLINK("#" &amp; CELL("address", Concepts!$A$54), "Click here for definition")</f>
        <v>Click here for definition</v>
      </c>
    </row>
    <row r="549" spans="1:7" x14ac:dyDescent="0.2">
      <c r="A549">
        <v>548</v>
      </c>
      <c r="B549" t="s">
        <v>1535</v>
      </c>
      <c r="C549" s="53" t="str">
        <f ca="1">HYPERLINK("#" &amp; CELL("address", 'V1.52+V1.52-F'!$A$23), "V1.52-F")</f>
        <v>V1.52-F</v>
      </c>
      <c r="D549" s="53" t="str">
        <f ca="1">HYPERLINK("#" &amp; CELL("address", 'V1.52+V1.52-F'!$M$3), "SCA")</f>
        <v>SCA</v>
      </c>
      <c r="E549" s="53" t="str">
        <f ca="1">HYPERLINK("#" &amp; CELL("address", 'V1.52+V1.52-F'!$M$14), "Transaction risk analysis")</f>
        <v>Transaction risk analysis</v>
      </c>
      <c r="F549" s="49" t="str">
        <f>'V1.52+V1.52-F'!$N$14</f>
        <v>RTRA</v>
      </c>
      <c r="G549" s="53" t="str">
        <f ca="1">HYPERLINK("#" &amp; CELL("address", Concepts!$A$56), "Click here for definition")</f>
        <v>Click here for definition</v>
      </c>
    </row>
    <row r="550" spans="1:7" x14ac:dyDescent="0.2">
      <c r="A550">
        <v>549</v>
      </c>
      <c r="B550" t="s">
        <v>1535</v>
      </c>
      <c r="C550" s="53" t="str">
        <f ca="1">HYPERLINK("#" &amp; CELL("address", 'V1.52+V1.52-F'!$A$23), "V1.52-F")</f>
        <v>V1.52-F</v>
      </c>
      <c r="D550" s="53" t="str">
        <f ca="1">HYPERLINK("#" &amp; CELL("address", 'V1.52+V1.52-F'!$M$3), "SCA")</f>
        <v>SCA</v>
      </c>
      <c r="E550" s="53" t="str">
        <f ca="1">HYPERLINK("#" &amp; CELL("address", 'V1.52+V1.52-F'!$M$15), "Merchant initiated transaction (MIT)")</f>
        <v>Merchant initiated transaction (MIT)</v>
      </c>
      <c r="F550" s="49" t="str">
        <f>'V1.52+V1.52-F'!$N$15</f>
        <v>MITR</v>
      </c>
      <c r="G550" s="53" t="str">
        <f ca="1">HYPERLINK("#" &amp; CELL("address", Concepts!$A$122), "Click here for definition")</f>
        <v>Click here for definition</v>
      </c>
    </row>
    <row r="551" spans="1:7" x14ac:dyDescent="0.2">
      <c r="A551">
        <v>550</v>
      </c>
      <c r="B551" t="s">
        <v>1535</v>
      </c>
      <c r="C551" s="53" t="str">
        <f ca="1">HYPERLINK("#" &amp; CELL("address", 'V1.52+V1.52-F'!$A$23), "V1.52-F")</f>
        <v>V1.52-F</v>
      </c>
      <c r="D551" s="53" t="str">
        <f ca="1">HYPERLINK("#" &amp; CELL("address", 'V1.52+V1.52-F'!$M$3), "SCA")</f>
        <v>SCA</v>
      </c>
      <c r="E551" s="53" t="str">
        <f ca="1">HYPERLINK("#" &amp; CELL("address", 'V1.52+V1.52-F'!$M$16), "Not applicable")</f>
        <v>Not applicable</v>
      </c>
      <c r="F551" s="49" t="str">
        <f>'V1.52+V1.52-F'!$N$16</f>
        <v>NOAP</v>
      </c>
      <c r="G551" s="53" t="str">
        <f ca="1">HYPERLINK("#" &amp; CELL("address", Concepts!$A$57), "Click here for definition")</f>
        <v>Click here for definition</v>
      </c>
    </row>
    <row r="552" spans="1:7" x14ac:dyDescent="0.2">
      <c r="A552">
        <v>551</v>
      </c>
      <c r="B552" t="s">
        <v>1535</v>
      </c>
      <c r="C552" s="53" t="str">
        <f ca="1">HYPERLINK("#" &amp; CELL("address", 'V1.52+V1.52-F'!$A$23), "V1.52-F")</f>
        <v>V1.52-F</v>
      </c>
      <c r="D552" s="53" t="str">
        <f ca="1">HYPERLINK("#" &amp; CELL("address", 'V1.52+V1.52-F'!$O$3), "Fraud type")</f>
        <v>Fraud type</v>
      </c>
      <c r="E552" s="53" t="str">
        <f ca="1">HYPERLINK("#" &amp; CELL("address", 'V1.52+V1.52-F'!$O$27), "Lost or Stolen card")</f>
        <v>Lost or Stolen card</v>
      </c>
      <c r="F552" s="49" t="str">
        <f>'V1.52+V1.52-F'!$P$27</f>
        <v>LSCA</v>
      </c>
      <c r="G552" s="53" t="str">
        <f ca="1">HYPERLINK("#" &amp; CELL("address", Concepts!$A$123), "Click here for definition")</f>
        <v>Click here for definition</v>
      </c>
    </row>
    <row r="553" spans="1:7" x14ac:dyDescent="0.2">
      <c r="A553">
        <v>552</v>
      </c>
      <c r="B553" t="s">
        <v>1535</v>
      </c>
      <c r="C553" s="53" t="str">
        <f ca="1">HYPERLINK("#" &amp; CELL("address", 'V1.52+V1.52-F'!$A$23), "V1.52-F")</f>
        <v>V1.52-F</v>
      </c>
      <c r="D553" s="53" t="str">
        <f ca="1">HYPERLINK("#" &amp; CELL("address", 'V1.52+V1.52-F'!$O$3), "Fraud type")</f>
        <v>Fraud type</v>
      </c>
      <c r="E553" s="53" t="str">
        <f ca="1">HYPERLINK("#" &amp; CELL("address", 'V1.52+V1.52-F'!$O$28), "Card Not Received")</f>
        <v>Card Not Received</v>
      </c>
      <c r="F553" s="49" t="str">
        <f>'V1.52+V1.52-F'!$P$28</f>
        <v>NRCA</v>
      </c>
      <c r="G553" s="53" t="str">
        <f ca="1">HYPERLINK("#" &amp; CELL("address", Concepts!$A$125), "Click here for definition")</f>
        <v>Click here for definition</v>
      </c>
    </row>
    <row r="554" spans="1:7" x14ac:dyDescent="0.2">
      <c r="A554">
        <v>553</v>
      </c>
      <c r="B554" t="s">
        <v>1535</v>
      </c>
      <c r="C554" s="53" t="str">
        <f ca="1">HYPERLINK("#" &amp; CELL("address", 'V1.52+V1.52-F'!$A$23), "V1.52-F")</f>
        <v>V1.52-F</v>
      </c>
      <c r="D554" s="53" t="str">
        <f ca="1">HYPERLINK("#" &amp; CELL("address", 'V1.52+V1.52-F'!$O$3), "Fraud type")</f>
        <v>Fraud type</v>
      </c>
      <c r="E554" s="53" t="str">
        <f ca="1">HYPERLINK("#" &amp; CELL("address", 'V1.52+V1.52-F'!$O$29), "Counterfeit card")</f>
        <v>Counterfeit card</v>
      </c>
      <c r="F554" s="49" t="str">
        <f>'V1.52+V1.52-F'!$P$29</f>
        <v>CFCA</v>
      </c>
      <c r="G554" s="53" t="str">
        <f ca="1">HYPERLINK("#" &amp; CELL("address", Concepts!$A$127), "Click here for definition")</f>
        <v>Click here for definition</v>
      </c>
    </row>
    <row r="555" spans="1:7" x14ac:dyDescent="0.2">
      <c r="A555">
        <v>554</v>
      </c>
      <c r="B555" t="s">
        <v>1535</v>
      </c>
      <c r="C555" s="53" t="str">
        <f ca="1">HYPERLINK("#" &amp; CELL("address", 'V1.52+V1.52-F'!$A$23), "V1.52-F")</f>
        <v>V1.52-F</v>
      </c>
      <c r="D555" s="53" t="str">
        <f ca="1">HYPERLINK("#" &amp; CELL("address", 'V1.52+V1.52-F'!$O$3), "Fraud type")</f>
        <v>Fraud type</v>
      </c>
      <c r="E555" s="53" t="str">
        <f ca="1">HYPERLINK("#" &amp; CELL("address", 'V1.52+V1.52-F'!$O$30), "Other")</f>
        <v>Other</v>
      </c>
      <c r="F555" s="49" t="str">
        <f>'V1.52+V1.52-F'!$P$30</f>
        <v>OTHR</v>
      </c>
      <c r="G555" s="53"/>
    </row>
    <row r="556" spans="1:7" x14ac:dyDescent="0.2">
      <c r="A556">
        <v>555</v>
      </c>
      <c r="B556" t="s">
        <v>1535</v>
      </c>
      <c r="C556" s="53" t="str">
        <f ca="1">HYPERLINK("#" &amp; CELL("address", 'V1.52+V1.52-F'!$A$23), "V1.52-F")</f>
        <v>V1.52-F</v>
      </c>
      <c r="D556" s="53" t="str">
        <f ca="1">HYPERLINK("#" &amp; CELL("address", 'V1.52+V1.52-F'!$O$3), "Fraud type")</f>
        <v>Fraud type</v>
      </c>
      <c r="E556" s="53" t="str">
        <f ca="1">HYPERLINK("#" &amp; CELL("address", 'V1.52+V1.52-F'!$O$31), "Modification of a payment order by the fraudster")</f>
        <v>Modification of a payment order by the fraudster</v>
      </c>
      <c r="F556" s="49" t="str">
        <f>'V1.52+V1.52-F'!$P$31</f>
        <v>MODF</v>
      </c>
      <c r="G556" s="53" t="str">
        <f ca="1">HYPERLINK("#" &amp; CELL("address", Concepts!$A$61), "Click here for definition")</f>
        <v>Click here for definition</v>
      </c>
    </row>
    <row r="557" spans="1:7" x14ac:dyDescent="0.2">
      <c r="A557">
        <v>556</v>
      </c>
      <c r="B557" t="s">
        <v>1535</v>
      </c>
      <c r="C557" s="53" t="str">
        <f ca="1">HYPERLINK("#" &amp; CELL("address", 'V1.52+V1.52-F'!$A$23), "V1.52-F")</f>
        <v>V1.52-F</v>
      </c>
      <c r="D557" s="53" t="str">
        <f ca="1">HYPERLINK("#" &amp; CELL("address", 'V1.52+V1.52-F'!$O$3), "Fraud type")</f>
        <v>Fraud type</v>
      </c>
      <c r="E557" s="53" t="str">
        <f ca="1">HYPERLINK("#" &amp; CELL("address", 'V1.52+V1.52-F'!$O$32), "Manipulation of the payer to make a card payment/cash withdrawal")</f>
        <v>Manipulation of the payer to make a card payment/cash withdrawal</v>
      </c>
      <c r="F557" s="49" t="str">
        <f>'V1.52+V1.52-F'!$P$32</f>
        <v>MNCP</v>
      </c>
      <c r="G557" s="53" t="str">
        <f ca="1">HYPERLINK("#" &amp; CELL("address", Concepts!$A$64), "Click here for definition")</f>
        <v>Click here for definition</v>
      </c>
    </row>
    <row r="558" spans="1:7" x14ac:dyDescent="0.2">
      <c r="A558">
        <v>557</v>
      </c>
      <c r="B558" t="s">
        <v>1535</v>
      </c>
      <c r="C558" s="53" t="str">
        <f ca="1">HYPERLINK("#" &amp; CELL("address", 'V1.52+V1.52-F'!$A$23), "V1.52-F")</f>
        <v>V1.52-F</v>
      </c>
      <c r="D558" s="53" t="str">
        <f ca="1">HYPERLINK("#" &amp; CELL("address", 'V1.52+V1.52-F'!$O$3), "Fraud type")</f>
        <v>Fraud type</v>
      </c>
      <c r="E558" s="53" t="str">
        <f ca="1">HYPERLINK("#" &amp; CELL("address", 'V1.52+V1.52-F'!$O$35), "Card details theft")</f>
        <v>Card details theft</v>
      </c>
      <c r="F558" s="49" t="str">
        <f>'V1.52+V1.52-F'!$P$35</f>
        <v>CATH</v>
      </c>
      <c r="G558" s="53" t="str">
        <f ca="1">HYPERLINK("#" &amp; CELL("address", Concepts!$A$129), "Click here for definition")</f>
        <v>Click here for definition</v>
      </c>
    </row>
    <row r="559" spans="1:7" x14ac:dyDescent="0.2">
      <c r="A559">
        <v>558</v>
      </c>
      <c r="B559" t="s">
        <v>1535</v>
      </c>
      <c r="C559" s="53" t="str">
        <f ca="1">HYPERLINK("#" &amp; CELL("address", 'V1.52+V1.52-F'!$A$23), "V1.52-F")</f>
        <v>V1.52-F</v>
      </c>
      <c r="D559" s="53" t="str">
        <f ca="1">HYPERLINK("#" &amp; CELL("address", 'V1.52+V1.52-F'!$Q$3), "Country of issuer")</f>
        <v>Country of issuer</v>
      </c>
      <c r="E559" s="53" t="str">
        <f ca="1">HYPERLINK("#" &amp; CELL("address", 'V1.52+V1.52-F'!$Q$4), "2-letter ISO 3166 country code")</f>
        <v>2-letter ISO 3166 country code</v>
      </c>
      <c r="F559" s="49" t="str">
        <f>'V1.52+V1.52-F'!$R$4</f>
        <v>[Geo]</v>
      </c>
      <c r="G559" s="53" t="str">
        <f ca="1">HYPERLINK("#" &amp; CELL("address", Concepts!$A$145), "Click here for definition")</f>
        <v>Click here for definition</v>
      </c>
    </row>
    <row r="560" spans="1:7" x14ac:dyDescent="0.2">
      <c r="A560">
        <v>559</v>
      </c>
      <c r="B560" t="s">
        <v>1535</v>
      </c>
      <c r="C560" s="53" t="str">
        <f ca="1">HYPERLINK("#" &amp; CELL("address", 'V1.52+V1.52-F'!$A$23), "V1.52-F")</f>
        <v>V1.52-F</v>
      </c>
      <c r="D560" s="53" t="str">
        <f ca="1">HYPERLINK("#" &amp; CELL("address", 'V1.52+V1.52-F'!$S$3), "Country of terminal")</f>
        <v>Country of terminal</v>
      </c>
      <c r="E560" s="53" t="str">
        <f ca="1">HYPERLINK("#" &amp; CELL("address", 'V1.52+V1.52-F'!$S$4), "2-letter ISO 3166 country code")</f>
        <v>2-letter ISO 3166 country code</v>
      </c>
      <c r="F560" s="49" t="str">
        <f>'V1.52+V1.52-F'!$T$4</f>
        <v>[Geo]</v>
      </c>
      <c r="G560" s="53" t="str">
        <f ca="1">HYPERLINK("#" &amp; CELL("address", Concepts!$A$145), "Click here for definition")</f>
        <v>Click here for definition</v>
      </c>
    </row>
    <row r="561" spans="1:7" x14ac:dyDescent="0.2">
      <c r="A561">
        <v>560</v>
      </c>
      <c r="B561" t="s">
        <v>1535</v>
      </c>
      <c r="C561" s="53" t="str">
        <f ca="1">HYPERLINK("#" &amp; CELL("address", 'V1.52+V1.52-F'!$A$23), "V1.52-F")</f>
        <v>V1.52-F</v>
      </c>
      <c r="D561" s="53" t="str">
        <f ca="1">HYPERLINK("#" &amp; CELL("address", 'V1.52+V1.52-F'!$U$3), "Currency")</f>
        <v>Currency</v>
      </c>
      <c r="E561" s="53" t="str">
        <f ca="1">HYPERLINK("#" &amp; CELL("address", 'V1.52+V1.52-F'!$U$4), "3-letter ISO 4217 currency code")</f>
        <v>3-letter ISO 4217 currency code</v>
      </c>
      <c r="F561" s="49" t="str">
        <f>'V1.52+V1.52-F'!$V$4</f>
        <v>[Currency]</v>
      </c>
      <c r="G561" s="53" t="str">
        <f ca="1">HYPERLINK("#" &amp; CELL("address", Concepts!$A$146), "Click here for definition")</f>
        <v>Click here for definition</v>
      </c>
    </row>
    <row r="562" spans="1:7" x14ac:dyDescent="0.2">
      <c r="A562">
        <v>561</v>
      </c>
      <c r="B562" t="s">
        <v>1535</v>
      </c>
      <c r="C562" s="53" t="str">
        <f ca="1">HYPERLINK("#" &amp; CELL("address", 'V1.52+V1.52-F'!$A$23), "V1.52-F")</f>
        <v>V1.52-F</v>
      </c>
      <c r="D562" s="53" t="str">
        <f ca="1">HYPERLINK("#" &amp; CELL("address", 'V1.52+V1.52-F'!$W$3), "Metric")</f>
        <v>Metric</v>
      </c>
      <c r="E562" s="53" t="str">
        <f ca="1">HYPERLINK("#" &amp; CELL("address", 'V1.52+V1.52-F'!$W$4), "Number of transactions")</f>
        <v>Number of transactions</v>
      </c>
      <c r="F562" s="49" t="str">
        <f>'V1.52+V1.52-F'!$X$4</f>
        <v>VOLU</v>
      </c>
      <c r="G562" s="53" t="str">
        <f ca="1">HYPERLINK("#" &amp; CELL("address", Concepts!$A$147), "Click here for definition")</f>
        <v>Click here for definition</v>
      </c>
    </row>
    <row r="563" spans="1:7" x14ac:dyDescent="0.2">
      <c r="A563">
        <v>562</v>
      </c>
      <c r="B563" t="s">
        <v>1535</v>
      </c>
      <c r="C563" s="53" t="str">
        <f ca="1">HYPERLINK("#" &amp; CELL("address", 'V1.52+V1.52-F'!$A$23), "V1.52-F")</f>
        <v>V1.52-F</v>
      </c>
      <c r="D563" s="53" t="str">
        <f ca="1">HYPERLINK("#" &amp; CELL("address", 'V1.52+V1.52-F'!$W$3), "Metric")</f>
        <v>Metric</v>
      </c>
      <c r="E563" s="53" t="str">
        <f ca="1">HYPERLINK("#" &amp; CELL("address", 'V1.52+V1.52-F'!$W$5), "Value of transactions")</f>
        <v>Value of transactions</v>
      </c>
      <c r="F563" s="49" t="str">
        <f>'V1.52+V1.52-F'!$X$5</f>
        <v>VALE</v>
      </c>
      <c r="G563" s="53" t="str">
        <f ca="1">HYPERLINK("#" &amp; CELL("address", Concepts!$A$148), "Click here for definition")</f>
        <v>Click here for definition</v>
      </c>
    </row>
    <row r="564" spans="1:7" x14ac:dyDescent="0.2">
      <c r="A564">
        <v>563</v>
      </c>
      <c r="B564" t="s">
        <v>1101</v>
      </c>
      <c r="C564" s="53" t="str">
        <f ca="1">HYPERLINK("#" &amp; CELL("address", 'V1.53'!$A$2), "V1.53")</f>
        <v>V1.53</v>
      </c>
      <c r="D564" s="53" t="str">
        <f ca="1">HYPERLINK("#" &amp; CELL("address", 'V1.53'!$A$3), "Payment card scheme")</f>
        <v>Payment card scheme</v>
      </c>
      <c r="E564" s="53" t="str">
        <f ca="1">HYPERLINK("#" &amp; CELL("address", 'V1.53'!$A$4), "Mastercard")</f>
        <v>Mastercard</v>
      </c>
      <c r="F564" s="49" t="str">
        <f>'V1.53'!$B$4</f>
        <v>MSTR</v>
      </c>
      <c r="G564" s="53"/>
    </row>
    <row r="565" spans="1:7" x14ac:dyDescent="0.2">
      <c r="A565">
        <v>564</v>
      </c>
      <c r="B565" t="s">
        <v>1101</v>
      </c>
      <c r="C565" s="53" t="str">
        <f ca="1">HYPERLINK("#" &amp; CELL("address", 'V1.53'!$A$2), "V1.53")</f>
        <v>V1.53</v>
      </c>
      <c r="D565" s="53" t="str">
        <f ca="1">HYPERLINK("#" &amp; CELL("address", 'V1.53'!$A$3), "Payment card scheme")</f>
        <v>Payment card scheme</v>
      </c>
      <c r="E565" s="53" t="str">
        <f ca="1">HYPERLINK("#" &amp; CELL("address", 'V1.53'!$A$5), "VISA - Vpay")</f>
        <v>VISA - Vpay</v>
      </c>
      <c r="F565" s="49" t="str">
        <f>'V1.53'!$B$5</f>
        <v>VPAY</v>
      </c>
      <c r="G565" s="53"/>
    </row>
    <row r="566" spans="1:7" x14ac:dyDescent="0.2">
      <c r="A566">
        <v>565</v>
      </c>
      <c r="B566" t="s">
        <v>1101</v>
      </c>
      <c r="C566" s="53" t="str">
        <f ca="1">HYPERLINK("#" &amp; CELL("address", 'V1.53'!$A$2), "V1.53")</f>
        <v>V1.53</v>
      </c>
      <c r="D566" s="53" t="str">
        <f ca="1">HYPERLINK("#" &amp; CELL("address", 'V1.53'!$A$3), "Payment card scheme")</f>
        <v>Payment card scheme</v>
      </c>
      <c r="E566" s="53" t="str">
        <f ca="1">HYPERLINK("#" &amp; CELL("address", 'V1.53'!$A$6), "VISA")</f>
        <v>VISA</v>
      </c>
      <c r="F566" s="49" t="str">
        <f>'V1.53'!$B$6</f>
        <v>VISA</v>
      </c>
      <c r="G566" s="53"/>
    </row>
    <row r="567" spans="1:7" x14ac:dyDescent="0.2">
      <c r="A567">
        <v>566</v>
      </c>
      <c r="B567" t="s">
        <v>1101</v>
      </c>
      <c r="C567" s="53" t="str">
        <f ca="1">HYPERLINK("#" &amp; CELL("address", 'V1.53'!$A$2), "V1.53")</f>
        <v>V1.53</v>
      </c>
      <c r="D567" s="53" t="str">
        <f ca="1">HYPERLINK("#" &amp; CELL("address", 'V1.53'!$A$3), "Payment card scheme")</f>
        <v>Payment card scheme</v>
      </c>
      <c r="E567" s="53" t="str">
        <f ca="1">HYPERLINK("#" &amp; CELL("address", 'V1.53'!$A$7), "China UnionPay")</f>
        <v>China UnionPay</v>
      </c>
      <c r="F567" s="49" t="str">
        <f>'V1.53'!$B$7</f>
        <v>CHUP</v>
      </c>
      <c r="G567" s="53"/>
    </row>
    <row r="568" spans="1:7" x14ac:dyDescent="0.2">
      <c r="A568">
        <v>567</v>
      </c>
      <c r="B568" t="s">
        <v>1101</v>
      </c>
      <c r="C568" s="53" t="str">
        <f ca="1">HYPERLINK("#" &amp; CELL("address", 'V1.53'!$A$2), "V1.53")</f>
        <v>V1.53</v>
      </c>
      <c r="D568" s="53" t="str">
        <f ca="1">HYPERLINK("#" &amp; CELL("address", 'V1.53'!$A$3), "Payment card scheme")</f>
        <v>Payment card scheme</v>
      </c>
      <c r="E568" s="53" t="str">
        <f ca="1">HYPERLINK("#" &amp; CELL("address", 'V1.53'!$A$8), "Japan Credit Bureau (JCB)")</f>
        <v>Japan Credit Bureau (JCB)</v>
      </c>
      <c r="F568" s="49" t="str">
        <f>'V1.53'!$B$8</f>
        <v>JCCB</v>
      </c>
      <c r="G568" s="53"/>
    </row>
    <row r="569" spans="1:7" x14ac:dyDescent="0.2">
      <c r="A569">
        <v>568</v>
      </c>
      <c r="B569" t="s">
        <v>1101</v>
      </c>
      <c r="C569" s="53" t="str">
        <f ca="1">HYPERLINK("#" &amp; CELL("address", 'V1.53'!$A$2), "V1.53")</f>
        <v>V1.53</v>
      </c>
      <c r="D569" s="53" t="str">
        <f ca="1">HYPERLINK("#" &amp; CELL("address", 'V1.53'!$A$3), "Payment card scheme")</f>
        <v>Payment card scheme</v>
      </c>
      <c r="E569" s="53" t="str">
        <f ca="1">HYPERLINK("#" &amp; CELL("address", 'V1.53'!$A$9), "American Express")</f>
        <v>American Express</v>
      </c>
      <c r="F569" s="49" t="str">
        <f>'V1.53'!$B$9</f>
        <v>AMEX</v>
      </c>
      <c r="G569" s="53"/>
    </row>
    <row r="570" spans="1:7" x14ac:dyDescent="0.2">
      <c r="A570">
        <v>569</v>
      </c>
      <c r="B570" t="s">
        <v>1101</v>
      </c>
      <c r="C570" s="53" t="str">
        <f ca="1">HYPERLINK("#" &amp; CELL("address", 'V1.53'!$A$2), "V1.53")</f>
        <v>V1.53</v>
      </c>
      <c r="D570" s="53" t="str">
        <f ca="1">HYPERLINK("#" &amp; CELL("address", 'V1.53'!$A$3), "Payment card scheme")</f>
        <v>Payment card scheme</v>
      </c>
      <c r="E570" s="53" t="str">
        <f ca="1">HYPERLINK("#" &amp; CELL("address", 'V1.53'!$A$10), "Diner's club")</f>
        <v>Diner's club</v>
      </c>
      <c r="F570" s="49" t="str">
        <f>'V1.53'!$B$10</f>
        <v>DICL</v>
      </c>
      <c r="G570" s="53"/>
    </row>
    <row r="571" spans="1:7" x14ac:dyDescent="0.2">
      <c r="A571">
        <v>570</v>
      </c>
      <c r="B571" t="s">
        <v>1101</v>
      </c>
      <c r="C571" s="53" t="str">
        <f ca="1">HYPERLINK("#" &amp; CELL("address", 'V1.53'!$A$2), "V1.53")</f>
        <v>V1.53</v>
      </c>
      <c r="D571" s="53" t="str">
        <f ca="1">HYPERLINK("#" &amp; CELL("address", 'V1.53'!$A$3), "Payment card scheme")</f>
        <v>Payment card scheme</v>
      </c>
      <c r="E571" s="53" t="str">
        <f ca="1">HYPERLINK("#" &amp; CELL("address", 'V1.53'!$A$11), "Proprietary")</f>
        <v>Proprietary</v>
      </c>
      <c r="F571" s="49" t="str">
        <f>'V1.53'!$B$11</f>
        <v>PROP</v>
      </c>
      <c r="G571" s="53" t="str">
        <f ca="1">HYPERLINK("#" &amp; CELL("address", Concepts!$A$104), "Click here for definition")</f>
        <v>Click here for definition</v>
      </c>
    </row>
    <row r="572" spans="1:7" x14ac:dyDescent="0.2">
      <c r="A572">
        <v>571</v>
      </c>
      <c r="B572" t="s">
        <v>1101</v>
      </c>
      <c r="C572" s="53" t="str">
        <f ca="1">HYPERLINK("#" &amp; CELL("address", 'V1.53'!$A$2), "V1.53")</f>
        <v>V1.53</v>
      </c>
      <c r="D572" s="53" t="str">
        <f ca="1">HYPERLINK("#" &amp; CELL("address", 'V1.53'!$A$3), "Payment card scheme")</f>
        <v>Payment card scheme</v>
      </c>
      <c r="E572" s="53" t="str">
        <f ca="1">HYPERLINK("#" &amp; CELL("address", 'V1.53'!$A$12), "Other")</f>
        <v>Other</v>
      </c>
      <c r="F572" s="49" t="str">
        <f>'V1.53'!$B$12</f>
        <v>OTHR</v>
      </c>
      <c r="G572" s="53"/>
    </row>
    <row r="573" spans="1:7" x14ac:dyDescent="0.2">
      <c r="A573">
        <v>572</v>
      </c>
      <c r="B573" t="s">
        <v>1101</v>
      </c>
      <c r="C573" s="53" t="str">
        <f ca="1">HYPERLINK("#" &amp; CELL("address", 'V1.53'!$A$2), "V1.53")</f>
        <v>V1.53</v>
      </c>
      <c r="D573" s="53" t="str">
        <f ca="1">HYPERLINK("#" &amp; CELL("address", 'V1.53'!$C$3), "Operation type")</f>
        <v>Operation type</v>
      </c>
      <c r="E573" s="53" t="str">
        <f ca="1">HYPERLINK("#" &amp; CELL("address", 'V1.53'!$C$4), "Funding")</f>
        <v>Funding</v>
      </c>
      <c r="F573" s="49" t="str">
        <f>'V1.53'!$D$4</f>
        <v>FUND</v>
      </c>
      <c r="G573" s="53" t="str">
        <f ca="1">HYPERLINK("#" &amp; CELL("address", Concepts!$A$131), "Click here for definition")</f>
        <v>Click here for definition</v>
      </c>
    </row>
    <row r="574" spans="1:7" x14ac:dyDescent="0.2">
      <c r="A574">
        <v>573</v>
      </c>
      <c r="B574" t="s">
        <v>1101</v>
      </c>
      <c r="C574" s="53" t="str">
        <f ca="1">HYPERLINK("#" &amp; CELL("address", 'V1.53'!$A$2), "V1.53")</f>
        <v>V1.53</v>
      </c>
      <c r="D574" s="53" t="str">
        <f ca="1">HYPERLINK("#" &amp; CELL("address", 'V1.53'!$C$3), "Operation type")</f>
        <v>Operation type</v>
      </c>
      <c r="E574" s="53" t="str">
        <f ca="1">HYPERLINK("#" &amp; CELL("address", 'V1.53'!$C$5), "Withdrawal")</f>
        <v>Withdrawal</v>
      </c>
      <c r="F574" s="49" t="str">
        <f>'V1.53'!$D$5</f>
        <v>WITH</v>
      </c>
      <c r="G574" s="53" t="str">
        <f ca="1">HYPERLINK("#" &amp; CELL("address", Concepts!$A$132), "Click here for definition")</f>
        <v>Click here for definition</v>
      </c>
    </row>
    <row r="575" spans="1:7" x14ac:dyDescent="0.2">
      <c r="A575">
        <v>574</v>
      </c>
      <c r="B575" t="s">
        <v>1101</v>
      </c>
      <c r="C575" s="53" t="str">
        <f ca="1">HYPERLINK("#" &amp; CELL("address", 'V1.53'!$A$2), "V1.53")</f>
        <v>V1.53</v>
      </c>
      <c r="D575" s="53" t="str">
        <f ca="1">HYPERLINK("#" &amp; CELL("address", 'V1.53'!$E$3), "Underlying payment instrument")</f>
        <v>Underlying payment instrument</v>
      </c>
      <c r="E575" s="53" t="str">
        <f ca="1">HYPERLINK("#" &amp; CELL("address", 'V1.53'!$E$4), "Cash")</f>
        <v>Cash</v>
      </c>
      <c r="F575" s="49" t="str">
        <f>'V1.53'!$F$4</f>
        <v>CASH</v>
      </c>
      <c r="G575" s="53" t="str">
        <f ca="1">HYPERLINK("#" &amp; CELL("address", Concepts!$A$133), "Click here for definition")</f>
        <v>Click here for definition</v>
      </c>
    </row>
    <row r="576" spans="1:7" x14ac:dyDescent="0.2">
      <c r="A576">
        <v>575</v>
      </c>
      <c r="B576" t="s">
        <v>1101</v>
      </c>
      <c r="C576" s="53" t="str">
        <f ca="1">HYPERLINK("#" &amp; CELL("address", 'V1.53'!$A$2), "V1.53")</f>
        <v>V1.53</v>
      </c>
      <c r="D576" s="53" t="str">
        <f ca="1">HYPERLINK("#" &amp; CELL("address", 'V1.53'!$E$3), "Underlying payment instrument")</f>
        <v>Underlying payment instrument</v>
      </c>
      <c r="E576" s="53" t="str">
        <f ca="1">HYPERLINK("#" &amp; CELL("address", 'V1.53'!$E$5), "Credit transfer")</f>
        <v>Credit transfer</v>
      </c>
      <c r="F576" s="49" t="str">
        <f>'V1.53'!$F$5</f>
        <v>CRTR</v>
      </c>
      <c r="G576" s="53" t="str">
        <f ca="1">HYPERLINK("#" &amp; CELL("address", Concepts!$A$134), "Click here for definition")</f>
        <v>Click here for definition</v>
      </c>
    </row>
    <row r="577" spans="1:7" x14ac:dyDescent="0.2">
      <c r="A577">
        <v>576</v>
      </c>
      <c r="B577" t="s">
        <v>1101</v>
      </c>
      <c r="C577" s="53" t="str">
        <f ca="1">HYPERLINK("#" &amp; CELL("address", 'V1.53'!$A$2), "V1.53")</f>
        <v>V1.53</v>
      </c>
      <c r="D577" s="53" t="str">
        <f ca="1">HYPERLINK("#" &amp; CELL("address", 'V1.53'!$E$3), "Underlying payment instrument")</f>
        <v>Underlying payment instrument</v>
      </c>
      <c r="E577" s="53" t="str">
        <f ca="1">HYPERLINK("#" &amp; CELL("address", 'V1.53'!$E$6), "Direct debit")</f>
        <v>Direct debit</v>
      </c>
      <c r="F577" s="49" t="str">
        <f>'V1.53'!$F$6</f>
        <v>DIDE</v>
      </c>
      <c r="G577" s="53" t="str">
        <f ca="1">HYPERLINK("#" &amp; CELL("address", Concepts!$A$135), "Click here for definition")</f>
        <v>Click here for definition</v>
      </c>
    </row>
    <row r="578" spans="1:7" x14ac:dyDescent="0.2">
      <c r="A578">
        <v>577</v>
      </c>
      <c r="B578" t="s">
        <v>1101</v>
      </c>
      <c r="C578" s="53" t="str">
        <f ca="1">HYPERLINK("#" &amp; CELL("address", 'V1.53'!$A$2), "V1.53")</f>
        <v>V1.53</v>
      </c>
      <c r="D578" s="53" t="str">
        <f ca="1">HYPERLINK("#" &amp; CELL("address", 'V1.53'!$E$3), "Underlying payment instrument")</f>
        <v>Underlying payment instrument</v>
      </c>
      <c r="E578" s="53" t="str">
        <f ca="1">HYPERLINK("#" &amp; CELL("address", 'V1.53'!$E$7), "Payment card")</f>
        <v>Payment card</v>
      </c>
      <c r="F578" s="49" t="str">
        <f>'V1.53'!$F$7</f>
        <v>PMCA</v>
      </c>
      <c r="G578" s="53" t="str">
        <f ca="1">HYPERLINK("#" &amp; CELL("address", Concepts!$A$136), "Click here for definition")</f>
        <v>Click here for definition</v>
      </c>
    </row>
    <row r="579" spans="1:7" x14ac:dyDescent="0.2">
      <c r="A579">
        <v>578</v>
      </c>
      <c r="B579" t="s">
        <v>1101</v>
      </c>
      <c r="C579" s="53" t="str">
        <f ca="1">HYPERLINK("#" &amp; CELL("address", 'V1.53'!$A$2), "V1.53")</f>
        <v>V1.53</v>
      </c>
      <c r="D579" s="53" t="str">
        <f ca="1">HYPERLINK("#" &amp; CELL("address", 'V1.53'!$E$3), "Underlying payment instrument")</f>
        <v>Underlying payment instrument</v>
      </c>
      <c r="E579" s="53" t="str">
        <f ca="1">HYPERLINK("#" &amp; CELL("address", 'V1.53'!$E$8), "Other")</f>
        <v>Other</v>
      </c>
      <c r="F579" s="49" t="str">
        <f>'V1.53'!$F$8</f>
        <v>OTHR</v>
      </c>
      <c r="G579" s="53"/>
    </row>
    <row r="580" spans="1:7" x14ac:dyDescent="0.2">
      <c r="A580">
        <v>579</v>
      </c>
      <c r="B580" t="s">
        <v>1101</v>
      </c>
      <c r="C580" s="53" t="str">
        <f ca="1">HYPERLINK("#" &amp; CELL("address", 'V1.53'!$A$2), "V1.53")</f>
        <v>V1.53</v>
      </c>
      <c r="D580" s="53" t="str">
        <f ca="1">HYPERLINK("#" &amp; CELL("address", 'V1.53'!$G$3), "Currency")</f>
        <v>Currency</v>
      </c>
      <c r="E580" s="53" t="str">
        <f ca="1">HYPERLINK("#" &amp; CELL("address", 'V1.53'!$G$4), "3-letter ISO 4217 currency code")</f>
        <v>3-letter ISO 4217 currency code</v>
      </c>
      <c r="F580" s="49" t="str">
        <f>'V1.53'!$H$4</f>
        <v>[Currency]</v>
      </c>
      <c r="G580" s="53" t="str">
        <f ca="1">HYPERLINK("#" &amp; CELL("address", Concepts!$A$146), "Click here for definition")</f>
        <v>Click here for definition</v>
      </c>
    </row>
    <row r="581" spans="1:7" x14ac:dyDescent="0.2">
      <c r="A581">
        <v>580</v>
      </c>
      <c r="B581" t="s">
        <v>1101</v>
      </c>
      <c r="C581" s="53" t="str">
        <f ca="1">HYPERLINK("#" &amp; CELL("address", 'V1.53'!$A$2), "V1.53")</f>
        <v>V1.53</v>
      </c>
      <c r="D581" s="53" t="str">
        <f ca="1">HYPERLINK("#" &amp; CELL("address", 'V1.53'!$I$3), "Metric")</f>
        <v>Metric</v>
      </c>
      <c r="E581" s="53" t="str">
        <f ca="1">HYPERLINK("#" &amp; CELL("address", 'V1.53'!$I$4), "Number of transactions")</f>
        <v>Number of transactions</v>
      </c>
      <c r="F581" s="49" t="str">
        <f>'V1.53'!$J$4</f>
        <v>VOLU</v>
      </c>
      <c r="G581" s="53" t="str">
        <f ca="1">HYPERLINK("#" &amp; CELL("address", Concepts!$A$147), "Click here for definition")</f>
        <v>Click here for definition</v>
      </c>
    </row>
    <row r="582" spans="1:7" x14ac:dyDescent="0.2">
      <c r="A582">
        <v>581</v>
      </c>
      <c r="B582" t="s">
        <v>1101</v>
      </c>
      <c r="C582" s="53" t="str">
        <f ca="1">HYPERLINK("#" &amp; CELL("address", 'V1.53'!$A$2), "V1.53")</f>
        <v>V1.53</v>
      </c>
      <c r="D582" s="53" t="str">
        <f ca="1">HYPERLINK("#" &amp; CELL("address", 'V1.53'!$I$3), "Metric")</f>
        <v>Metric</v>
      </c>
      <c r="E582" s="53" t="str">
        <f ca="1">HYPERLINK("#" &amp; CELL("address", 'V1.53'!$I$5), "Value of transactions")</f>
        <v>Value of transactions</v>
      </c>
      <c r="F582" s="49" t="str">
        <f>'V1.53'!$J$5</f>
        <v>VALE</v>
      </c>
      <c r="G582" s="53" t="str">
        <f ca="1">HYPERLINK("#" &amp; CELL("address", Concepts!$A$148), "Click here for definition")</f>
        <v>Click here for definition</v>
      </c>
    </row>
    <row r="583" spans="1:7" x14ac:dyDescent="0.2">
      <c r="A583">
        <v>582</v>
      </c>
      <c r="B583" t="s">
        <v>1536</v>
      </c>
      <c r="C583" s="53" t="str">
        <f ca="1">HYPERLINK("#" &amp; CELL("address", 'V1.60+V1.60-F'!$A$2), "V1.60")</f>
        <v>V1.60</v>
      </c>
      <c r="D583" s="53" t="str">
        <f ca="1">HYPERLINK("#" &amp; CELL("address", 'V1.60+V1.60-F'!$A$3), "Role of reporting PSP")</f>
        <v>Role of reporting PSP</v>
      </c>
      <c r="E583" s="53" t="str">
        <f ca="1">HYPERLINK("#" &amp; CELL("address", 'V1.60+V1.60-F'!$A$4), "Debtor's PSP")</f>
        <v>Debtor's PSP</v>
      </c>
      <c r="F583" s="49" t="str">
        <f>'V1.60+V1.60-F'!$B$4</f>
        <v>DPSP</v>
      </c>
      <c r="G583" s="53" t="str">
        <f ca="1">HYPERLINK("#" &amp; CELL("address", Concepts!$A$76), "Click here for definition")</f>
        <v>Click here for definition</v>
      </c>
    </row>
    <row r="584" spans="1:7" x14ac:dyDescent="0.2">
      <c r="A584">
        <v>583</v>
      </c>
      <c r="B584" t="s">
        <v>1536</v>
      </c>
      <c r="C584" s="53" t="str">
        <f ca="1">HYPERLINK("#" &amp; CELL("address", 'V1.60+V1.60-F'!$A$2), "V1.60")</f>
        <v>V1.60</v>
      </c>
      <c r="D584" s="53" t="str">
        <f ca="1">HYPERLINK("#" &amp; CELL("address", 'V1.60+V1.60-F'!$A$3), "Role of reporting PSP")</f>
        <v>Role of reporting PSP</v>
      </c>
      <c r="E584" s="53" t="str">
        <f ca="1">HYPERLINK("#" &amp; CELL("address", 'V1.60+V1.60-F'!$A$5), "Creditor's PSP")</f>
        <v>Creditor's PSP</v>
      </c>
      <c r="F584" s="49" t="str">
        <f>'V1.60+V1.60-F'!$B$5</f>
        <v>CPSP</v>
      </c>
      <c r="G584" s="53" t="str">
        <f ca="1">HYPERLINK("#" &amp; CELL("address", Concepts!$A$77), "Click here for definition")</f>
        <v>Click here for definition</v>
      </c>
    </row>
    <row r="585" spans="1:7" x14ac:dyDescent="0.2">
      <c r="A585">
        <v>584</v>
      </c>
      <c r="B585" t="s">
        <v>1536</v>
      </c>
      <c r="C585" s="53" t="str">
        <f ca="1">HYPERLINK("#" &amp; CELL("address", 'V1.60+V1.60-F'!$A$2), "V1.60")</f>
        <v>V1.60</v>
      </c>
      <c r="D585" s="53" t="str">
        <f ca="1">HYPERLINK("#" &amp; CELL("address", 'V1.60+V1.60-F'!$C$3), "Payment instrument type")</f>
        <v>Payment instrument type</v>
      </c>
      <c r="E585" s="53" t="str">
        <f ca="1">HYPERLINK("#" &amp; CELL("address", 'V1.60+V1.60-F'!$C$4), "Cheque")</f>
        <v>Cheque</v>
      </c>
      <c r="F585" s="49" t="str">
        <f>'V1.60+V1.60-F'!$D$4</f>
        <v>CHEQ</v>
      </c>
      <c r="G585" s="53" t="str">
        <f ca="1">HYPERLINK("#" &amp; CELL("address", Concepts!$A$137), "Click here for definition")</f>
        <v>Click here for definition</v>
      </c>
    </row>
    <row r="586" spans="1:7" x14ac:dyDescent="0.2">
      <c r="A586">
        <v>585</v>
      </c>
      <c r="B586" t="s">
        <v>1536</v>
      </c>
      <c r="C586" s="53" t="str">
        <f ca="1">HYPERLINK("#" &amp; CELL("address", 'V1.60+V1.60-F'!$A$2), "V1.60")</f>
        <v>V1.60</v>
      </c>
      <c r="D586" s="53" t="str">
        <f ca="1">HYPERLINK("#" &amp; CELL("address", 'V1.60+V1.60-F'!$C$3), "Payment instrument type")</f>
        <v>Payment instrument type</v>
      </c>
      <c r="E586" s="53" t="str">
        <f ca="1">HYPERLINK("#" &amp; CELL("address", 'V1.60+V1.60-F'!$C$5), "Money remittance")</f>
        <v>Money remittance</v>
      </c>
      <c r="F586" s="49" t="str">
        <f>'V1.60+V1.60-F'!$D$5</f>
        <v>MREM</v>
      </c>
      <c r="G586" s="53" t="str">
        <f ca="1">HYPERLINK("#" &amp; CELL("address", Concepts!$A$138), "Click here for definition")</f>
        <v>Click here for definition</v>
      </c>
    </row>
    <row r="587" spans="1:7" x14ac:dyDescent="0.2">
      <c r="A587">
        <v>586</v>
      </c>
      <c r="B587" t="s">
        <v>1536</v>
      </c>
      <c r="C587" s="53" t="str">
        <f ca="1">HYPERLINK("#" &amp; CELL("address", 'V1.60+V1.60-F'!$A$2), "V1.60")</f>
        <v>V1.60</v>
      </c>
      <c r="D587" s="53" t="str">
        <f ca="1">HYPERLINK("#" &amp; CELL("address", 'V1.60+V1.60-F'!$C$3), "Payment instrument type")</f>
        <v>Payment instrument type</v>
      </c>
      <c r="E587" s="53" t="str">
        <f ca="1">HYPERLINK("#" &amp; CELL("address", 'V1.60+V1.60-F'!$C$7), "Postal order")</f>
        <v>Postal order</v>
      </c>
      <c r="F587" s="49" t="str">
        <f>'V1.60+V1.60-F'!$D$7</f>
        <v>POST</v>
      </c>
      <c r="G587" s="53" t="str">
        <f ca="1">HYPERLINK("#" &amp; CELL("address", Concepts!$A$140), "Click here for definition")</f>
        <v>Click here for definition</v>
      </c>
    </row>
    <row r="588" spans="1:7" x14ac:dyDescent="0.2">
      <c r="A588">
        <v>587</v>
      </c>
      <c r="B588" t="s">
        <v>1536</v>
      </c>
      <c r="C588" s="53" t="str">
        <f ca="1">HYPERLINK("#" &amp; CELL("address", 'V1.60+V1.60-F'!$A$2), "V1.60")</f>
        <v>V1.60</v>
      </c>
      <c r="D588" s="53" t="str">
        <f ca="1">HYPERLINK("#" &amp; CELL("address", 'V1.60+V1.60-F'!$E$3), "Transmission channel")</f>
        <v>Transmission channel</v>
      </c>
      <c r="E588" s="53" t="str">
        <f ca="1">HYPERLINK("#" &amp; CELL("address", 'V1.60+V1.60-F'!$E$4), "Bilateral exchange")</f>
        <v>Bilateral exchange</v>
      </c>
      <c r="F588" s="49" t="str">
        <f>'V1.60+V1.60-F'!$F$4</f>
        <v>BILX</v>
      </c>
      <c r="G588" s="53" t="str">
        <f ca="1">HYPERLINK("#" &amp; CELL("address", Concepts!$A$141), "Click here for definition")</f>
        <v>Click here for definition</v>
      </c>
    </row>
    <row r="589" spans="1:7" x14ac:dyDescent="0.2">
      <c r="A589">
        <v>588</v>
      </c>
      <c r="B589" t="s">
        <v>1536</v>
      </c>
      <c r="C589" s="53" t="str">
        <f ca="1">HYPERLINK("#" &amp; CELL("address", 'V1.60+V1.60-F'!$A$2), "V1.60")</f>
        <v>V1.60</v>
      </c>
      <c r="D589" s="53" t="str">
        <f ca="1">HYPERLINK("#" &amp; CELL("address", 'V1.60+V1.60-F'!$E$3), "Transmission channel")</f>
        <v>Transmission channel</v>
      </c>
      <c r="E589" s="53" t="str">
        <f ca="1">HYPERLINK("#" &amp; CELL("address", 'V1.60+V1.60-F'!$E$5), "On-us")</f>
        <v>On-us</v>
      </c>
      <c r="F589" s="49" t="str">
        <f>'V1.60+V1.60-F'!$F$5</f>
        <v>ONUS</v>
      </c>
      <c r="G589" s="53" t="str">
        <f ca="1">HYPERLINK("#" &amp; CELL("address", Concepts!$A$142), "Click here for definition")</f>
        <v>Click here for definition</v>
      </c>
    </row>
    <row r="590" spans="1:7" x14ac:dyDescent="0.2">
      <c r="A590">
        <v>589</v>
      </c>
      <c r="B590" t="s">
        <v>1536</v>
      </c>
      <c r="C590" s="53" t="str">
        <f ca="1">HYPERLINK("#" &amp; CELL("address", 'V1.60+V1.60-F'!$A$2), "V1.60")</f>
        <v>V1.60</v>
      </c>
      <c r="D590" s="53" t="str">
        <f ca="1">HYPERLINK("#" &amp; CELL("address", 'V1.60+V1.60-F'!$E$3), "Transmission channel")</f>
        <v>Transmission channel</v>
      </c>
      <c r="E590" s="53" t="str">
        <f ca="1">HYPERLINK("#" &amp; CELL("address", 'V1.60+V1.60-F'!$E$6), "Moneygram")</f>
        <v>Moneygram</v>
      </c>
      <c r="F590" s="49" t="str">
        <f>'V1.60+V1.60-F'!$F$6</f>
        <v>MNGR</v>
      </c>
      <c r="G590" s="53" t="str">
        <f ca="1">HYPERLINK("#" &amp; CELL("address", Concepts!$A$143), "Click here for definition")</f>
        <v>Click here for definition</v>
      </c>
    </row>
    <row r="591" spans="1:7" x14ac:dyDescent="0.2">
      <c r="A591">
        <v>590</v>
      </c>
      <c r="B591" t="s">
        <v>1536</v>
      </c>
      <c r="C591" s="53" t="str">
        <f ca="1">HYPERLINK("#" &amp; CELL("address", 'V1.60+V1.60-F'!$A$2), "V1.60")</f>
        <v>V1.60</v>
      </c>
      <c r="D591" s="53" t="str">
        <f ca="1">HYPERLINK("#" &amp; CELL("address", 'V1.60+V1.60-F'!$E$3), "Transmission channel")</f>
        <v>Transmission channel</v>
      </c>
      <c r="E591" s="53" t="str">
        <f ca="1">HYPERLINK("#" &amp; CELL("address", 'V1.60+V1.60-F'!$E$7), "Western Union")</f>
        <v>Western Union</v>
      </c>
      <c r="F591" s="49" t="str">
        <f>'V1.60+V1.60-F'!$F$7</f>
        <v>WSTU</v>
      </c>
      <c r="G591" s="53" t="str">
        <f ca="1">HYPERLINK("#" &amp; CELL("address", Concepts!$A$144), "Click here for definition")</f>
        <v>Click here for definition</v>
      </c>
    </row>
    <row r="592" spans="1:7" x14ac:dyDescent="0.2">
      <c r="A592">
        <v>591</v>
      </c>
      <c r="B592" t="s">
        <v>1536</v>
      </c>
      <c r="C592" s="53" t="str">
        <f ca="1">HYPERLINK("#" &amp; CELL("address", 'V1.60+V1.60-F'!$A$2), "V1.60")</f>
        <v>V1.60</v>
      </c>
      <c r="D592" s="53" t="str">
        <f ca="1">HYPERLINK("#" &amp; CELL("address", 'V1.60+V1.60-F'!$E$3), "Transmission channel")</f>
        <v>Transmission channel</v>
      </c>
      <c r="E592" s="53" t="str">
        <f ca="1">HYPERLINK("#" &amp; CELL("address", 'V1.60+V1.60-F'!$E$8), "Other")</f>
        <v>Other</v>
      </c>
      <c r="F592" s="49" t="str">
        <f>'V1.60+V1.60-F'!$F$8</f>
        <v>OTHR</v>
      </c>
      <c r="G592" s="53"/>
    </row>
    <row r="593" spans="1:7" x14ac:dyDescent="0.2">
      <c r="A593">
        <v>592</v>
      </c>
      <c r="B593" t="s">
        <v>1536</v>
      </c>
      <c r="C593" s="53" t="str">
        <f ca="1">HYPERLINK("#" &amp; CELL("address", 'V1.60+V1.60-F'!$A$2), "V1.60")</f>
        <v>V1.60</v>
      </c>
      <c r="D593" s="53" t="str">
        <f ca="1">HYPERLINK("#" &amp; CELL("address", 'V1.60+V1.60-F'!$G$3), "Country of debtor's PSP")</f>
        <v>Country of debtor's PSP</v>
      </c>
      <c r="E593" s="53" t="str">
        <f ca="1">HYPERLINK("#" &amp; CELL("address", 'V1.60+V1.60-F'!$G$5), "Luxembourg")</f>
        <v>Luxembourg</v>
      </c>
      <c r="F593" s="49" t="str">
        <f>'V1.60+V1.60-F'!$H$5</f>
        <v>LU</v>
      </c>
      <c r="G593" s="53"/>
    </row>
    <row r="594" spans="1:7" x14ac:dyDescent="0.2">
      <c r="A594">
        <v>593</v>
      </c>
      <c r="B594" t="s">
        <v>1536</v>
      </c>
      <c r="C594" s="53" t="str">
        <f ca="1">HYPERLINK("#" &amp; CELL("address", 'V1.60+V1.60-F'!$A$2), "V1.60")</f>
        <v>V1.60</v>
      </c>
      <c r="D594" s="53" t="str">
        <f ca="1">HYPERLINK("#" &amp; CELL("address", 'V1.60+V1.60-F'!$G$3), "Country of debtor's PSP")</f>
        <v>Country of debtor's PSP</v>
      </c>
      <c r="E594" s="53" t="str">
        <f ca="1">HYPERLINK("#" &amp; CELL("address", 'V1.60+V1.60-F'!$G$7), "2-letter ISO 3166 country code")</f>
        <v>2-letter ISO 3166 country code</v>
      </c>
      <c r="F594" s="49" t="str">
        <f>'V1.60+V1.60-F'!$H$7</f>
        <v>[Geo]</v>
      </c>
      <c r="G594" s="53" t="str">
        <f ca="1">HYPERLINK("#" &amp; CELL("address", Concepts!$A$145), "Click here for definition")</f>
        <v>Click here for definition</v>
      </c>
    </row>
    <row r="595" spans="1:7" x14ac:dyDescent="0.2">
      <c r="A595">
        <v>594</v>
      </c>
      <c r="B595" t="s">
        <v>1536</v>
      </c>
      <c r="C595" s="53" t="str">
        <f ca="1">HYPERLINK("#" &amp; CELL("address", 'V1.60+V1.60-F'!$A$2), "V1.60")</f>
        <v>V1.60</v>
      </c>
      <c r="D595" s="53" t="str">
        <f ca="1">HYPERLINK("#" &amp; CELL("address", 'V1.60+V1.60-F'!$I$3), "Country of creditor's PSP")</f>
        <v>Country of creditor's PSP</v>
      </c>
      <c r="E595" s="53" t="str">
        <f ca="1">HYPERLINK("#" &amp; CELL("address", 'V1.60+V1.60-F'!$I$5), "2-letter ISO 3166 country code")</f>
        <v>2-letter ISO 3166 country code</v>
      </c>
      <c r="F595" s="49" t="str">
        <f>'V1.60+V1.60-F'!$J$5</f>
        <v>[Geo]</v>
      </c>
      <c r="G595" s="53" t="str">
        <f ca="1">HYPERLINK("#" &amp; CELL("address", Concepts!$A$145), "Click here for definition")</f>
        <v>Click here for definition</v>
      </c>
    </row>
    <row r="596" spans="1:7" x14ac:dyDescent="0.2">
      <c r="A596">
        <v>595</v>
      </c>
      <c r="B596" t="s">
        <v>1536</v>
      </c>
      <c r="C596" s="53" t="str">
        <f ca="1">HYPERLINK("#" &amp; CELL("address", 'V1.60+V1.60-F'!$A$2), "V1.60")</f>
        <v>V1.60</v>
      </c>
      <c r="D596" s="53" t="str">
        <f ca="1">HYPERLINK("#" &amp; CELL("address", 'V1.60+V1.60-F'!$I$3), "Country of creditor's PSP")</f>
        <v>Country of creditor's PSP</v>
      </c>
      <c r="E596" s="53" t="str">
        <f ca="1">HYPERLINK("#" &amp; CELL("address", 'V1.60+V1.60-F'!$I$7), "Luxembourg")</f>
        <v>Luxembourg</v>
      </c>
      <c r="F596" s="49" t="str">
        <f>'V1.60+V1.60-F'!$J$7</f>
        <v>LU</v>
      </c>
      <c r="G596" s="53"/>
    </row>
    <row r="597" spans="1:7" x14ac:dyDescent="0.2">
      <c r="A597">
        <v>596</v>
      </c>
      <c r="B597" t="s">
        <v>1536</v>
      </c>
      <c r="C597" s="53" t="str">
        <f ca="1">HYPERLINK("#" &amp; CELL("address", 'V1.60+V1.60-F'!$A$2), "V1.60")</f>
        <v>V1.60</v>
      </c>
      <c r="D597" s="53" t="str">
        <f ca="1">HYPERLINK("#" &amp; CELL("address", 'V1.60+V1.60-F'!$K$3), "Currency")</f>
        <v>Currency</v>
      </c>
      <c r="E597" s="53" t="str">
        <f ca="1">HYPERLINK("#" &amp; CELL("address", 'V1.60+V1.60-F'!$K$4), "3-letter ISO 4217 currency code")</f>
        <v>3-letter ISO 4217 currency code</v>
      </c>
      <c r="F597" s="49" t="str">
        <f>'V1.60+V1.60-F'!$L$4</f>
        <v>[Currency]</v>
      </c>
      <c r="G597" s="53" t="str">
        <f ca="1">HYPERLINK("#" &amp; CELL("address", Concepts!$A$146), "Click here for definition")</f>
        <v>Click here for definition</v>
      </c>
    </row>
    <row r="598" spans="1:7" x14ac:dyDescent="0.2">
      <c r="A598">
        <v>597</v>
      </c>
      <c r="B598" t="s">
        <v>1536</v>
      </c>
      <c r="C598" s="53" t="str">
        <f ca="1">HYPERLINK("#" &amp; CELL("address", 'V1.60+V1.60-F'!$A$2), "V1.60")</f>
        <v>V1.60</v>
      </c>
      <c r="D598" s="53" t="str">
        <f ca="1">HYPERLINK("#" &amp; CELL("address", 'V1.60+V1.60-F'!$M$3), "Metric")</f>
        <v>Metric</v>
      </c>
      <c r="E598" s="53" t="str">
        <f ca="1">HYPERLINK("#" &amp; CELL("address", 'V1.60+V1.60-F'!$M$4), "Number of transactions")</f>
        <v>Number of transactions</v>
      </c>
      <c r="F598" s="49" t="str">
        <f>'V1.60+V1.60-F'!$N$4</f>
        <v>VOLU</v>
      </c>
      <c r="G598" s="53" t="str">
        <f ca="1">HYPERLINK("#" &amp; CELL("address", Concepts!$A$147), "Click here for definition")</f>
        <v>Click here for definition</v>
      </c>
    </row>
    <row r="599" spans="1:7" x14ac:dyDescent="0.2">
      <c r="A599">
        <v>598</v>
      </c>
      <c r="B599" t="s">
        <v>1536</v>
      </c>
      <c r="C599" s="53" t="str">
        <f ca="1">HYPERLINK("#" &amp; CELL("address", 'V1.60+V1.60-F'!$A$2), "V1.60")</f>
        <v>V1.60</v>
      </c>
      <c r="D599" s="53" t="str">
        <f ca="1">HYPERLINK("#" &amp; CELL("address", 'V1.60+V1.60-F'!$M$3), "Metric")</f>
        <v>Metric</v>
      </c>
      <c r="E599" s="53" t="str">
        <f ca="1">HYPERLINK("#" &amp; CELL("address", 'V1.60+V1.60-F'!$M$5), "Value of transactions")</f>
        <v>Value of transactions</v>
      </c>
      <c r="F599" s="49" t="str">
        <f>'V1.60+V1.60-F'!$N$5</f>
        <v>VALE</v>
      </c>
      <c r="G599" s="53" t="str">
        <f ca="1">HYPERLINK("#" &amp; CELL("address", Concepts!$A$148), "Click here for definition")</f>
        <v>Click here for definition</v>
      </c>
    </row>
    <row r="600" spans="1:7" x14ac:dyDescent="0.2">
      <c r="A600">
        <v>599</v>
      </c>
      <c r="B600" t="s">
        <v>1536</v>
      </c>
      <c r="C600" s="53" t="str">
        <f ca="1">HYPERLINK("#" &amp; CELL("address", 'V1.60+V1.60-F'!$A$23), "V1.60-F")</f>
        <v>V1.60-F</v>
      </c>
      <c r="D600" s="53" t="str">
        <f ca="1">HYPERLINK("#" &amp; CELL("address", 'V1.60+V1.60-F'!$A$3), "Role of reporting PSP")</f>
        <v>Role of reporting PSP</v>
      </c>
      <c r="E600" s="53" t="str">
        <f ca="1">HYPERLINK("#" &amp; CELL("address", 'V1.60+V1.60-F'!$A$26), "Debtor's PSP")</f>
        <v>Debtor's PSP</v>
      </c>
      <c r="F600" s="49" t="str">
        <f>'V1.60+V1.60-F'!$B$26</f>
        <v>DPSP</v>
      </c>
      <c r="G600" s="53" t="str">
        <f ca="1">HYPERLINK("#" &amp; CELL("address", Concepts!$A$76), "Click here for definition")</f>
        <v>Click here for definition</v>
      </c>
    </row>
    <row r="601" spans="1:7" x14ac:dyDescent="0.2">
      <c r="A601">
        <v>600</v>
      </c>
      <c r="B601" t="s">
        <v>1536</v>
      </c>
      <c r="C601" s="53" t="str">
        <f ca="1">HYPERLINK("#" &amp; CELL("address", 'V1.60+V1.60-F'!$A$23), "V1.60-F")</f>
        <v>V1.60-F</v>
      </c>
      <c r="D601" s="53" t="str">
        <f ca="1">HYPERLINK("#" &amp; CELL("address", 'V1.60+V1.60-F'!$A$3), "Role of reporting PSP")</f>
        <v>Role of reporting PSP</v>
      </c>
      <c r="E601" s="53" t="str">
        <f ca="1">HYPERLINK("#" &amp; CELL("address", 'V1.60+V1.60-F'!$A$28), "Creditor's PSP")</f>
        <v>Creditor's PSP</v>
      </c>
      <c r="F601" s="49" t="str">
        <f>'V1.60+V1.60-F'!$B$28</f>
        <v>CPSP</v>
      </c>
      <c r="G601" s="53" t="str">
        <f ca="1">HYPERLINK("#" &amp; CELL("address", Concepts!$A$77), "Click here for definition")</f>
        <v>Click here for definition</v>
      </c>
    </row>
    <row r="602" spans="1:7" x14ac:dyDescent="0.2">
      <c r="A602">
        <v>601</v>
      </c>
      <c r="B602" t="s">
        <v>1536</v>
      </c>
      <c r="C602" s="53" t="str">
        <f ca="1">HYPERLINK("#" &amp; CELL("address", 'V1.60+V1.60-F'!$A$23), "V1.60-F")</f>
        <v>V1.60-F</v>
      </c>
      <c r="D602" s="53" t="str">
        <f ca="1">HYPERLINK("#" &amp; CELL("address", 'V1.60+V1.60-F'!$C$3), "Payment instrument type")</f>
        <v>Payment instrument type</v>
      </c>
      <c r="E602" s="53" t="str">
        <f ca="1">HYPERLINK("#" &amp; CELL("address", 'V1.60+V1.60-F'!$C$4), "Cheque")</f>
        <v>Cheque</v>
      </c>
      <c r="F602" s="49" t="str">
        <f>'V1.60+V1.60-F'!$D$4</f>
        <v>CHEQ</v>
      </c>
      <c r="G602" s="53" t="str">
        <f ca="1">HYPERLINK("#" &amp; CELL("address", Concepts!$A$137), "Click here for definition")</f>
        <v>Click here for definition</v>
      </c>
    </row>
    <row r="603" spans="1:7" x14ac:dyDescent="0.2">
      <c r="A603">
        <v>602</v>
      </c>
      <c r="B603" t="s">
        <v>1536</v>
      </c>
      <c r="C603" s="53" t="str">
        <f ca="1">HYPERLINK("#" &amp; CELL("address", 'V1.60+V1.60-F'!$A$23), "V1.60-F")</f>
        <v>V1.60-F</v>
      </c>
      <c r="D603" s="53" t="str">
        <f ca="1">HYPERLINK("#" &amp; CELL("address", 'V1.60+V1.60-F'!$C$3), "Payment instrument type")</f>
        <v>Payment instrument type</v>
      </c>
      <c r="E603" s="53" t="str">
        <f ca="1">HYPERLINK("#" &amp; CELL("address", 'V1.60+V1.60-F'!$C$5), "Money remittance")</f>
        <v>Money remittance</v>
      </c>
      <c r="F603" s="49" t="str">
        <f>'V1.60+V1.60-F'!$D$5</f>
        <v>MREM</v>
      </c>
      <c r="G603" s="53" t="str">
        <f ca="1">HYPERLINK("#" &amp; CELL("address", Concepts!$A$138), "Click here for definition")</f>
        <v>Click here for definition</v>
      </c>
    </row>
    <row r="604" spans="1:7" x14ac:dyDescent="0.2">
      <c r="A604">
        <v>603</v>
      </c>
      <c r="B604" t="s">
        <v>1536</v>
      </c>
      <c r="C604" s="53" t="str">
        <f ca="1">HYPERLINK("#" &amp; CELL("address", 'V1.60+V1.60-F'!$A$23), "V1.60-F")</f>
        <v>V1.60-F</v>
      </c>
      <c r="D604" s="53" t="str">
        <f ca="1">HYPERLINK("#" &amp; CELL("address", 'V1.60+V1.60-F'!$C$3), "Payment instrument type")</f>
        <v>Payment instrument type</v>
      </c>
      <c r="E604" s="53" t="str">
        <f ca="1">HYPERLINK("#" &amp; CELL("address", 'V1.60+V1.60-F'!$C$7), "Postal order")</f>
        <v>Postal order</v>
      </c>
      <c r="F604" s="49" t="str">
        <f>'V1.60+V1.60-F'!$D$7</f>
        <v>POST</v>
      </c>
      <c r="G604" s="53" t="str">
        <f ca="1">HYPERLINK("#" &amp; CELL("address", Concepts!$A$140), "Click here for definition")</f>
        <v>Click here for definition</v>
      </c>
    </row>
    <row r="605" spans="1:7" x14ac:dyDescent="0.2">
      <c r="A605">
        <v>604</v>
      </c>
      <c r="B605" t="s">
        <v>1536</v>
      </c>
      <c r="C605" s="53" t="str">
        <f ca="1">HYPERLINK("#" &amp; CELL("address", 'V1.60+V1.60-F'!$A$23), "V1.60-F")</f>
        <v>V1.60-F</v>
      </c>
      <c r="D605" s="53" t="str">
        <f ca="1">HYPERLINK("#" &amp; CELL("address", 'V1.60+V1.60-F'!$E$3), "Transmission channel")</f>
        <v>Transmission channel</v>
      </c>
      <c r="E605" s="53" t="str">
        <f ca="1">HYPERLINK("#" &amp; CELL("address", 'V1.60+V1.60-F'!$E$4), "Bilateral exchange")</f>
        <v>Bilateral exchange</v>
      </c>
      <c r="F605" s="49" t="str">
        <f>'V1.60+V1.60-F'!$F$4</f>
        <v>BILX</v>
      </c>
      <c r="G605" s="53" t="str">
        <f ca="1">HYPERLINK("#" &amp; CELL("address", Concepts!$A$141), "Click here for definition")</f>
        <v>Click here for definition</v>
      </c>
    </row>
    <row r="606" spans="1:7" x14ac:dyDescent="0.2">
      <c r="A606">
        <v>605</v>
      </c>
      <c r="B606" t="s">
        <v>1536</v>
      </c>
      <c r="C606" s="53" t="str">
        <f ca="1">HYPERLINK("#" &amp; CELL("address", 'V1.60+V1.60-F'!$A$23), "V1.60-F")</f>
        <v>V1.60-F</v>
      </c>
      <c r="D606" s="53" t="str">
        <f ca="1">HYPERLINK("#" &amp; CELL("address", 'V1.60+V1.60-F'!$E$3), "Transmission channel")</f>
        <v>Transmission channel</v>
      </c>
      <c r="E606" s="53" t="str">
        <f ca="1">HYPERLINK("#" &amp; CELL("address", 'V1.60+V1.60-F'!$E$5), "On-us")</f>
        <v>On-us</v>
      </c>
      <c r="F606" s="49" t="str">
        <f>'V1.60+V1.60-F'!$F$5</f>
        <v>ONUS</v>
      </c>
      <c r="G606" s="53" t="str">
        <f ca="1">HYPERLINK("#" &amp; CELL("address", Concepts!$A$142), "Click here for definition")</f>
        <v>Click here for definition</v>
      </c>
    </row>
    <row r="607" spans="1:7" x14ac:dyDescent="0.2">
      <c r="A607">
        <v>606</v>
      </c>
      <c r="B607" t="s">
        <v>1536</v>
      </c>
      <c r="C607" s="53" t="str">
        <f ca="1">HYPERLINK("#" &amp; CELL("address", 'V1.60+V1.60-F'!$A$23), "V1.60-F")</f>
        <v>V1.60-F</v>
      </c>
      <c r="D607" s="53" t="str">
        <f ca="1">HYPERLINK("#" &amp; CELL("address", 'V1.60+V1.60-F'!$E$3), "Transmission channel")</f>
        <v>Transmission channel</v>
      </c>
      <c r="E607" s="53" t="str">
        <f ca="1">HYPERLINK("#" &amp; CELL("address", 'V1.60+V1.60-F'!$E$6), "Moneygram")</f>
        <v>Moneygram</v>
      </c>
      <c r="F607" s="49" t="str">
        <f>'V1.60+V1.60-F'!$F$6</f>
        <v>MNGR</v>
      </c>
      <c r="G607" s="53" t="str">
        <f ca="1">HYPERLINK("#" &amp; CELL("address", Concepts!$A$143), "Click here for definition")</f>
        <v>Click here for definition</v>
      </c>
    </row>
    <row r="608" spans="1:7" x14ac:dyDescent="0.2">
      <c r="A608">
        <v>607</v>
      </c>
      <c r="B608" t="s">
        <v>1536</v>
      </c>
      <c r="C608" s="53" t="str">
        <f ca="1">HYPERLINK("#" &amp; CELL("address", 'V1.60+V1.60-F'!$A$23), "V1.60-F")</f>
        <v>V1.60-F</v>
      </c>
      <c r="D608" s="53" t="str">
        <f ca="1">HYPERLINK("#" &amp; CELL("address", 'V1.60+V1.60-F'!$E$3), "Transmission channel")</f>
        <v>Transmission channel</v>
      </c>
      <c r="E608" s="53" t="str">
        <f ca="1">HYPERLINK("#" &amp; CELL("address", 'V1.60+V1.60-F'!$E$7), "Western Union")</f>
        <v>Western Union</v>
      </c>
      <c r="F608" s="49" t="str">
        <f>'V1.60+V1.60-F'!$F$7</f>
        <v>WSTU</v>
      </c>
      <c r="G608" s="53" t="str">
        <f ca="1">HYPERLINK("#" &amp; CELL("address", Concepts!$A$144), "Click here for definition")</f>
        <v>Click here for definition</v>
      </c>
    </row>
    <row r="609" spans="1:7" x14ac:dyDescent="0.2">
      <c r="A609">
        <v>608</v>
      </c>
      <c r="B609" t="s">
        <v>1536</v>
      </c>
      <c r="C609" s="53" t="str">
        <f ca="1">HYPERLINK("#" &amp; CELL("address", 'V1.60+V1.60-F'!$A$23), "V1.60-F")</f>
        <v>V1.60-F</v>
      </c>
      <c r="D609" s="53" t="str">
        <f ca="1">HYPERLINK("#" &amp; CELL("address", 'V1.60+V1.60-F'!$E$3), "Transmission channel")</f>
        <v>Transmission channel</v>
      </c>
      <c r="E609" s="53" t="str">
        <f ca="1">HYPERLINK("#" &amp; CELL("address", 'V1.60+V1.60-F'!$E$8), "Other")</f>
        <v>Other</v>
      </c>
      <c r="F609" s="49" t="str">
        <f>'V1.60+V1.60-F'!$F$8</f>
        <v>OTHR</v>
      </c>
      <c r="G609" s="53"/>
    </row>
    <row r="610" spans="1:7" x14ac:dyDescent="0.2">
      <c r="A610">
        <v>609</v>
      </c>
      <c r="B610" t="s">
        <v>1536</v>
      </c>
      <c r="C610" s="53" t="str">
        <f ca="1">HYPERLINK("#" &amp; CELL("address", 'V1.60+V1.60-F'!$A$23), "V1.60-F")</f>
        <v>V1.60-F</v>
      </c>
      <c r="D610" s="53" t="str">
        <f ca="1">HYPERLINK("#" &amp; CELL("address", 'V1.60+V1.60-F'!$G$3), "Country of debtor's PSP")</f>
        <v>Country of debtor's PSP</v>
      </c>
      <c r="E610" s="53" t="str">
        <f ca="1">HYPERLINK("#" &amp; CELL("address", 'V1.60+V1.60-F'!$G$5), "Luxembourg")</f>
        <v>Luxembourg</v>
      </c>
      <c r="F610" s="49" t="str">
        <f>'V1.60+V1.60-F'!$H$5</f>
        <v>LU</v>
      </c>
      <c r="G610" s="53"/>
    </row>
    <row r="611" spans="1:7" x14ac:dyDescent="0.2">
      <c r="A611">
        <v>610</v>
      </c>
      <c r="B611" t="s">
        <v>1536</v>
      </c>
      <c r="C611" s="53" t="str">
        <f ca="1">HYPERLINK("#" &amp; CELL("address", 'V1.60+V1.60-F'!$A$23), "V1.60-F")</f>
        <v>V1.60-F</v>
      </c>
      <c r="D611" s="53" t="str">
        <f ca="1">HYPERLINK("#" &amp; CELL("address", 'V1.60+V1.60-F'!$G$3), "Country of debtor's PSP")</f>
        <v>Country of debtor's PSP</v>
      </c>
      <c r="E611" s="53" t="str">
        <f ca="1">HYPERLINK("#" &amp; CELL("address", 'V1.60+V1.60-F'!$G$7), "2-letter ISO 3166 country code")</f>
        <v>2-letter ISO 3166 country code</v>
      </c>
      <c r="F611" s="49" t="str">
        <f>'V1.60+V1.60-F'!$H$7</f>
        <v>[Geo]</v>
      </c>
      <c r="G611" s="53" t="str">
        <f ca="1">HYPERLINK("#" &amp; CELL("address", Concepts!$A$145), "Click here for definition")</f>
        <v>Click here for definition</v>
      </c>
    </row>
    <row r="612" spans="1:7" x14ac:dyDescent="0.2">
      <c r="A612">
        <v>611</v>
      </c>
      <c r="B612" t="s">
        <v>1536</v>
      </c>
      <c r="C612" s="53" t="str">
        <f ca="1">HYPERLINK("#" &amp; CELL("address", 'V1.60+V1.60-F'!$A$23), "V1.60-F")</f>
        <v>V1.60-F</v>
      </c>
      <c r="D612" s="53" t="str">
        <f ca="1">HYPERLINK("#" &amp; CELL("address", 'V1.60+V1.60-F'!$I$3), "Country of creditor's PSP")</f>
        <v>Country of creditor's PSP</v>
      </c>
      <c r="E612" s="53" t="str">
        <f ca="1">HYPERLINK("#" &amp; CELL("address", 'V1.60+V1.60-F'!$I$5), "2-letter ISO 3166 country code")</f>
        <v>2-letter ISO 3166 country code</v>
      </c>
      <c r="F612" s="49" t="str">
        <f>'V1.60+V1.60-F'!$J$5</f>
        <v>[Geo]</v>
      </c>
      <c r="G612" s="53" t="str">
        <f ca="1">HYPERLINK("#" &amp; CELL("address", Concepts!$A$145), "Click here for definition")</f>
        <v>Click here for definition</v>
      </c>
    </row>
    <row r="613" spans="1:7" x14ac:dyDescent="0.2">
      <c r="A613">
        <v>612</v>
      </c>
      <c r="B613" t="s">
        <v>1536</v>
      </c>
      <c r="C613" s="53" t="str">
        <f ca="1">HYPERLINK("#" &amp; CELL("address", 'V1.60+V1.60-F'!$A$23), "V1.60-F")</f>
        <v>V1.60-F</v>
      </c>
      <c r="D613" s="53" t="str">
        <f ca="1">HYPERLINK("#" &amp; CELL("address", 'V1.60+V1.60-F'!$I$3), "Country of creditor's PSP")</f>
        <v>Country of creditor's PSP</v>
      </c>
      <c r="E613" s="53" t="str">
        <f ca="1">HYPERLINK("#" &amp; CELL("address", 'V1.60+V1.60-F'!$I$7), "Luxembourg")</f>
        <v>Luxembourg</v>
      </c>
      <c r="F613" s="49" t="str">
        <f>'V1.60+V1.60-F'!$J$7</f>
        <v>LU</v>
      </c>
      <c r="G613" s="53"/>
    </row>
    <row r="614" spans="1:7" x14ac:dyDescent="0.2">
      <c r="A614">
        <v>613</v>
      </c>
      <c r="B614" t="s">
        <v>1536</v>
      </c>
      <c r="C614" s="53" t="str">
        <f ca="1">HYPERLINK("#" &amp; CELL("address", 'V1.60+V1.60-F'!$A$23), "V1.60-F")</f>
        <v>V1.60-F</v>
      </c>
      <c r="D614" s="53" t="str">
        <f ca="1">HYPERLINK("#" &amp; CELL("address", 'V1.60+V1.60-F'!$K$3), "Currency")</f>
        <v>Currency</v>
      </c>
      <c r="E614" s="53" t="str">
        <f ca="1">HYPERLINK("#" &amp; CELL("address", 'V1.60+V1.60-F'!$K$4), "3-letter ISO 4217 currency code")</f>
        <v>3-letter ISO 4217 currency code</v>
      </c>
      <c r="F614" s="49" t="str">
        <f>'V1.60+V1.60-F'!$L$4</f>
        <v>[Currency]</v>
      </c>
      <c r="G614" s="53" t="str">
        <f ca="1">HYPERLINK("#" &amp; CELL("address", Concepts!$A$146), "Click here for definition")</f>
        <v>Click here for definition</v>
      </c>
    </row>
    <row r="615" spans="1:7" x14ac:dyDescent="0.2">
      <c r="A615">
        <v>614</v>
      </c>
      <c r="B615" t="s">
        <v>1536</v>
      </c>
      <c r="C615" s="53" t="str">
        <f ca="1">HYPERLINK("#" &amp; CELL("address", 'V1.60+V1.60-F'!$A$23), "V1.60-F")</f>
        <v>V1.60-F</v>
      </c>
      <c r="D615" s="53" t="str">
        <f ca="1">HYPERLINK("#" &amp; CELL("address", 'V1.60+V1.60-F'!$M$3), "Metric")</f>
        <v>Metric</v>
      </c>
      <c r="E615" s="53" t="str">
        <f ca="1">HYPERLINK("#" &amp; CELL("address", 'V1.60+V1.60-F'!$M$4), "Number of transactions")</f>
        <v>Number of transactions</v>
      </c>
      <c r="F615" s="49" t="str">
        <f>'V1.60+V1.60-F'!$N$4</f>
        <v>VOLU</v>
      </c>
      <c r="G615" s="53" t="str">
        <f ca="1">HYPERLINK("#" &amp; CELL("address", Concepts!$A$147), "Click here for definition")</f>
        <v>Click here for definition</v>
      </c>
    </row>
    <row r="616" spans="1:7" x14ac:dyDescent="0.2">
      <c r="A616">
        <v>615</v>
      </c>
      <c r="B616" t="s">
        <v>1536</v>
      </c>
      <c r="C616" s="53" t="str">
        <f ca="1">HYPERLINK("#" &amp; CELL("address", 'V1.60+V1.60-F'!$A$23), "V1.60-F")</f>
        <v>V1.60-F</v>
      </c>
      <c r="D616" s="53" t="str">
        <f ca="1">HYPERLINK("#" &amp; CELL("address", 'V1.60+V1.60-F'!$M$3), "Metric")</f>
        <v>Metric</v>
      </c>
      <c r="E616" s="53" t="str">
        <f ca="1">HYPERLINK("#" &amp; CELL("address", 'V1.60+V1.60-F'!$M$5), "Value of transactions")</f>
        <v>Value of transactions</v>
      </c>
      <c r="F616" s="49" t="str">
        <f>'V1.60+V1.60-F'!$N$5</f>
        <v>VALE</v>
      </c>
      <c r="G616" s="53" t="str">
        <f ca="1">HYPERLINK("#" &amp; CELL("address", Concepts!$A$148), "Click here for definition")</f>
        <v>Click here for definition</v>
      </c>
    </row>
    <row r="617" spans="1:7" x14ac:dyDescent="0.2">
      <c r="A617">
        <v>616</v>
      </c>
      <c r="B617" t="s">
        <v>1102</v>
      </c>
      <c r="C617" s="53" t="str">
        <f ca="1">HYPERLINK("#" &amp; CELL("address", 'V1.70'!$A$2), "V1.70")</f>
        <v>V1.70</v>
      </c>
      <c r="D617" s="53" t="str">
        <f ca="1">HYPERLINK("#" &amp; CELL("address", 'V1.70'!$A$3), "Operation type")</f>
        <v>Operation type</v>
      </c>
      <c r="E617" s="53" t="str">
        <f ca="1">HYPERLINK("#" &amp; CELL("address", 'V1.70'!$A$4), "Cash withdrawal")</f>
        <v>Cash withdrawal</v>
      </c>
      <c r="F617" s="49" t="str">
        <f>'V1.70'!$B$4</f>
        <v>CWIT</v>
      </c>
      <c r="G617" s="53" t="str">
        <f ca="1">HYPERLINK("#" &amp; CELL("address", Concepts!$A$152), "Click here for definition")</f>
        <v>Click here for definition</v>
      </c>
    </row>
    <row r="618" spans="1:7" x14ac:dyDescent="0.2">
      <c r="A618">
        <v>617</v>
      </c>
      <c r="B618" t="s">
        <v>1102</v>
      </c>
      <c r="C618" s="53" t="str">
        <f ca="1">HYPERLINK("#" &amp; CELL("address", 'V1.70'!$A$2), "V1.70")</f>
        <v>V1.70</v>
      </c>
      <c r="D618" s="53" t="str">
        <f ca="1">HYPERLINK("#" &amp; CELL("address", 'V1.70'!$A$3), "Operation type")</f>
        <v>Operation type</v>
      </c>
      <c r="E618" s="53" t="str">
        <f ca="1">HYPERLINK("#" &amp; CELL("address", 'V1.70'!$A$5), "Cash deposit")</f>
        <v>Cash deposit</v>
      </c>
      <c r="F618" s="49" t="str">
        <f>'V1.70'!$B$5</f>
        <v>CDEP</v>
      </c>
      <c r="G618" s="53" t="str">
        <f ca="1">HYPERLINK("#" &amp; CELL("address", Concepts!$A$153), "Click here for definition")</f>
        <v>Click here for definition</v>
      </c>
    </row>
    <row r="619" spans="1:7" x14ac:dyDescent="0.2">
      <c r="A619">
        <v>618</v>
      </c>
      <c r="B619" t="s">
        <v>1102</v>
      </c>
      <c r="C619" s="53" t="str">
        <f ca="1">HYPERLINK("#" &amp; CELL("address", 'V1.70'!$A$2), "V1.70")</f>
        <v>V1.70</v>
      </c>
      <c r="D619" s="53" t="str">
        <f ca="1">HYPERLINK("#" &amp; CELL("address", 'V1.70'!$C$3), "Currency")</f>
        <v>Currency</v>
      </c>
      <c r="E619" s="53" t="str">
        <f ca="1">HYPERLINK("#" &amp; CELL("address", 'V1.70'!$C$4), "3-letter ISO 4217 currency code")</f>
        <v>3-letter ISO 4217 currency code</v>
      </c>
      <c r="F619" s="49" t="str">
        <f>'V1.70'!$D$4</f>
        <v>[Currency]</v>
      </c>
      <c r="G619" s="53" t="str">
        <f ca="1">HYPERLINK("#" &amp; CELL("address", Concepts!$A$146), "Click here for definition")</f>
        <v>Click here for definition</v>
      </c>
    </row>
    <row r="620" spans="1:7" x14ac:dyDescent="0.2">
      <c r="A620">
        <v>619</v>
      </c>
      <c r="B620" t="s">
        <v>1102</v>
      </c>
      <c r="C620" s="53" t="str">
        <f ca="1">HYPERLINK("#" &amp; CELL("address", 'V1.70'!$A$2), "V1.70")</f>
        <v>V1.70</v>
      </c>
      <c r="D620" s="53" t="str">
        <f ca="1">HYPERLINK("#" &amp; CELL("address", 'V1.70'!$E$3), "Metric")</f>
        <v>Metric</v>
      </c>
      <c r="E620" s="53" t="str">
        <f ca="1">HYPERLINK("#" &amp; CELL("address", 'V1.70'!$E$4), "Number of transactions")</f>
        <v>Number of transactions</v>
      </c>
      <c r="F620" s="49" t="str">
        <f>'V1.70'!$F$4</f>
        <v>VOLU</v>
      </c>
      <c r="G620" s="53" t="str">
        <f ca="1">HYPERLINK("#" &amp; CELL("address", Concepts!$A$147), "Click here for definition")</f>
        <v>Click here for definition</v>
      </c>
    </row>
    <row r="621" spans="1:7" x14ac:dyDescent="0.2">
      <c r="A621">
        <v>620</v>
      </c>
      <c r="B621" t="s">
        <v>1102</v>
      </c>
      <c r="C621" s="53" t="str">
        <f ca="1">HYPERLINK("#" &amp; CELL("address", 'V1.70'!$A$2), "V1.70")</f>
        <v>V1.70</v>
      </c>
      <c r="D621" s="53" t="str">
        <f ca="1">HYPERLINK("#" &amp; CELL("address", 'V1.70'!$E$3), "Metric")</f>
        <v>Metric</v>
      </c>
      <c r="E621" s="53" t="str">
        <f ca="1">HYPERLINK("#" &amp; CELL("address", 'V1.70'!$E$5), "Value of transactions")</f>
        <v>Value of transactions</v>
      </c>
      <c r="F621" s="49" t="str">
        <f>'V1.70'!$F$5</f>
        <v>VALE</v>
      </c>
      <c r="G621" s="53" t="str">
        <f ca="1">HYPERLINK("#" &amp; CELL("address", Concepts!$A$148), "Click here for definition")</f>
        <v>Click here for definition</v>
      </c>
    </row>
    <row r="622" spans="1:7" x14ac:dyDescent="0.2">
      <c r="A622">
        <v>621</v>
      </c>
      <c r="B622" t="s">
        <v>1461</v>
      </c>
      <c r="C622" s="53" t="str">
        <f ca="1">HYPERLINK("#" &amp; CELL("address", 'V1.80'!$A$2), "V1.80")</f>
        <v>V1.80</v>
      </c>
      <c r="D622" s="53" t="str">
        <f ca="1">HYPERLINK("#" &amp; CELL("address", 'V1.80'!$A$3), "Book entry type")</f>
        <v>Book entry type</v>
      </c>
      <c r="E622" s="53" t="str">
        <f ca="1">HYPERLINK("#" &amp; CELL("address", 'V1.80'!$A$4), "Debit book entry")</f>
        <v>Debit book entry</v>
      </c>
      <c r="F622" s="49" t="str">
        <f>'V1.80'!$B$4</f>
        <v>DBBE</v>
      </c>
      <c r="G622" s="53" t="str">
        <f ca="1">HYPERLINK("#" &amp; CELL("address", Concepts!$A$155), "Click here for definition")</f>
        <v>Click here for definition</v>
      </c>
    </row>
    <row r="623" spans="1:7" x14ac:dyDescent="0.2">
      <c r="A623">
        <v>622</v>
      </c>
      <c r="B623" t="s">
        <v>1461</v>
      </c>
      <c r="C623" s="53" t="str">
        <f ca="1">HYPERLINK("#" &amp; CELL("address", 'V1.80'!$A$2), "V1.80")</f>
        <v>V1.80</v>
      </c>
      <c r="D623" s="53" t="str">
        <f ca="1">HYPERLINK("#" &amp; CELL("address", 'V1.80'!$A$3), "Book entry type")</f>
        <v>Book entry type</v>
      </c>
      <c r="E623" s="53" t="str">
        <f ca="1">HYPERLINK("#" &amp; CELL("address", 'V1.80'!$A$5), "Credit book entry")</f>
        <v>Credit book entry</v>
      </c>
      <c r="F623" s="49" t="str">
        <f>'V1.80'!$B$5</f>
        <v>CDBE</v>
      </c>
      <c r="G623" s="53" t="str">
        <f ca="1">HYPERLINK("#" &amp; CELL("address", Concepts!$A$156), "Click here for definition")</f>
        <v>Click here for definition</v>
      </c>
    </row>
    <row r="624" spans="1:7" x14ac:dyDescent="0.2">
      <c r="A624">
        <v>623</v>
      </c>
      <c r="B624" t="s">
        <v>1461</v>
      </c>
      <c r="C624" s="53" t="str">
        <f ca="1">HYPERLINK("#" &amp; CELL("address", 'V1.80'!$A$2), "V1.80")</f>
        <v>V1.80</v>
      </c>
      <c r="D624" s="53" t="str">
        <f ca="1">HYPERLINK("#" &amp; CELL("address", 'V1.80'!$C$3), "Customer category")</f>
        <v>Customer category</v>
      </c>
      <c r="E624" s="53" t="str">
        <f ca="1">HYPERLINK("#" &amp; CELL("address", 'V1.80'!$C$5), "Credit institution")</f>
        <v>Credit institution</v>
      </c>
      <c r="F624" s="49" t="str">
        <f>'V1.80'!$D$5</f>
        <v>CRIN</v>
      </c>
      <c r="G624" s="53" t="str">
        <f ca="1">HYPERLINK("#" &amp; CELL("address", Concepts!$A$7), "Click here for definition")</f>
        <v>Click here for definition</v>
      </c>
    </row>
    <row r="625" spans="1:7" x14ac:dyDescent="0.2">
      <c r="A625">
        <v>624</v>
      </c>
      <c r="B625" t="s">
        <v>1461</v>
      </c>
      <c r="C625" s="53" t="str">
        <f ca="1">HYPERLINK("#" &amp; CELL("address", 'V1.80'!$A$2), "V1.80")</f>
        <v>V1.80</v>
      </c>
      <c r="D625" s="53" t="str">
        <f ca="1">HYPERLINK("#" &amp; CELL("address", 'V1.80'!$C$3), "Customer category")</f>
        <v>Customer category</v>
      </c>
      <c r="E625" s="53" t="str">
        <f ca="1">HYPERLINK("#" &amp; CELL("address", 'V1.80'!$C$6), "Monetary fund")</f>
        <v>Monetary fund</v>
      </c>
      <c r="F625" s="49" t="str">
        <f>'V1.80'!$D$6</f>
        <v>MOFU</v>
      </c>
      <c r="G625" s="53" t="str">
        <f ca="1">HYPERLINK("#" &amp; CELL("address", Concepts!$A$8), "Click here for definition")</f>
        <v>Click here for definition</v>
      </c>
    </row>
    <row r="626" spans="1:7" x14ac:dyDescent="0.2">
      <c r="A626">
        <v>625</v>
      </c>
      <c r="B626" t="s">
        <v>1461</v>
      </c>
      <c r="C626" s="53" t="str">
        <f ca="1">HYPERLINK("#" &amp; CELL("address", 'V1.80'!$A$2), "V1.80")</f>
        <v>V1.80</v>
      </c>
      <c r="D626" s="53" t="str">
        <f ca="1">HYPERLINK("#" &amp; CELL("address", 'V1.80'!$C$3), "Customer category")</f>
        <v>Customer category</v>
      </c>
      <c r="E626" s="53" t="str">
        <f ca="1">HYPERLINK("#" &amp; CELL("address", 'V1.80'!$C$7), "Electronic money institution")</f>
        <v>Electronic money institution</v>
      </c>
      <c r="F626" s="49" t="str">
        <f>'V1.80'!$D$7</f>
        <v>ELMI</v>
      </c>
      <c r="G626" s="53" t="str">
        <f ca="1">HYPERLINK("#" &amp; CELL("address", Concepts!$A$9), "Click here for definition")</f>
        <v>Click here for definition</v>
      </c>
    </row>
    <row r="627" spans="1:7" x14ac:dyDescent="0.2">
      <c r="A627">
        <v>626</v>
      </c>
      <c r="B627" t="s">
        <v>1461</v>
      </c>
      <c r="C627" s="53" t="str">
        <f ca="1">HYPERLINK("#" &amp; CELL("address", 'V1.80'!$A$2), "V1.80")</f>
        <v>V1.80</v>
      </c>
      <c r="D627" s="53" t="str">
        <f ca="1">HYPERLINK("#" &amp; CELL("address", 'V1.80'!$C$3), "Customer category")</f>
        <v>Customer category</v>
      </c>
      <c r="E627" s="53" t="str">
        <f ca="1">HYPERLINK("#" &amp; CELL("address", 'V1.80'!$C$8), "Payment institution")</f>
        <v>Payment institution</v>
      </c>
      <c r="F627" s="49" t="str">
        <f>'V1.80'!$D$8</f>
        <v>PMIN</v>
      </c>
      <c r="G627" s="53" t="str">
        <f ca="1">HYPERLINK("#" &amp; CELL("address", Concepts!$A$13), "Click here for definition")</f>
        <v>Click here for definition</v>
      </c>
    </row>
    <row r="628" spans="1:7" x14ac:dyDescent="0.2">
      <c r="A628">
        <v>627</v>
      </c>
      <c r="B628" t="s">
        <v>1461</v>
      </c>
      <c r="C628" s="53" t="str">
        <f ca="1">HYPERLINK("#" &amp; CELL("address", 'V1.80'!$A$2), "V1.80")</f>
        <v>V1.80</v>
      </c>
      <c r="D628" s="53" t="str">
        <f ca="1">HYPERLINK("#" &amp; CELL("address", 'V1.80'!$C$3), "Customer category")</f>
        <v>Customer category</v>
      </c>
      <c r="E628" s="53" t="str">
        <f ca="1">HYPERLINK("#" &amp; CELL("address", 'V1.80'!$C$9), "Other MFI")</f>
        <v>Other MFI</v>
      </c>
      <c r="F628" s="49" t="str">
        <f>'V1.80'!$D$9</f>
        <v>OMFI</v>
      </c>
      <c r="G628" s="53" t="str">
        <f ca="1">HYPERLINK("#" &amp; CELL("address", Concepts!$A$10), "Click here for definition")</f>
        <v>Click here for definition</v>
      </c>
    </row>
    <row r="629" spans="1:7" x14ac:dyDescent="0.2">
      <c r="A629">
        <v>628</v>
      </c>
      <c r="B629" t="s">
        <v>1461</v>
      </c>
      <c r="C629" s="53" t="str">
        <f ca="1">HYPERLINK("#" &amp; CELL("address", 'V1.80'!$A$2), "V1.80")</f>
        <v>V1.80</v>
      </c>
      <c r="D629" s="53" t="str">
        <f ca="1">HYPERLINK("#" &amp; CELL("address", 'V1.80'!$C$3), "Customer category")</f>
        <v>Customer category</v>
      </c>
      <c r="E629" s="53" t="str">
        <f ca="1">HYPERLINK("#" &amp; CELL("address", 'V1.80'!$C$11), "Non-monetary fund")</f>
        <v>Non-monetary fund</v>
      </c>
      <c r="F629" s="49" t="str">
        <f>'V1.80'!$D$11</f>
        <v>NMFU</v>
      </c>
      <c r="G629" s="53" t="str">
        <f ca="1">HYPERLINK("#" &amp; CELL("address", Concepts!$A$12), "Click here for definition")</f>
        <v>Click here for definition</v>
      </c>
    </row>
    <row r="630" spans="1:7" x14ac:dyDescent="0.2">
      <c r="A630">
        <v>629</v>
      </c>
      <c r="B630" t="s">
        <v>1461</v>
      </c>
      <c r="C630" s="53" t="str">
        <f ca="1">HYPERLINK("#" &amp; CELL("address", 'V1.80'!$A$2), "V1.80")</f>
        <v>V1.80</v>
      </c>
      <c r="D630" s="53" t="str">
        <f ca="1">HYPERLINK("#" &amp; CELL("address", 'V1.80'!$C$3), "Customer category")</f>
        <v>Customer category</v>
      </c>
      <c r="E630" s="53" t="str">
        <f ca="1">HYPERLINK("#" &amp; CELL("address", 'V1.80'!$C$12), "Households and NPISHs")</f>
        <v>Households and NPISHs</v>
      </c>
      <c r="F630" s="49" t="str">
        <f>'V1.80'!$D$12</f>
        <v>HSNP</v>
      </c>
      <c r="G630" s="53" t="str">
        <f ca="1">HYPERLINK("#" &amp; CELL("address", Concepts!$A$14), "Click here for definition")</f>
        <v>Click here for definition</v>
      </c>
    </row>
    <row r="631" spans="1:7" x14ac:dyDescent="0.2">
      <c r="A631">
        <v>630</v>
      </c>
      <c r="B631" t="s">
        <v>1461</v>
      </c>
      <c r="C631" s="53" t="str">
        <f ca="1">HYPERLINK("#" &amp; CELL("address", 'V1.80'!$A$2), "V1.80")</f>
        <v>V1.80</v>
      </c>
      <c r="D631" s="53" t="str">
        <f ca="1">HYPERLINK("#" &amp; CELL("address", 'V1.80'!$C$3), "Customer category")</f>
        <v>Customer category</v>
      </c>
      <c r="E631" s="53" t="str">
        <f ca="1">HYPERLINK("#" &amp; CELL("address", 'V1.80'!$C$13), "Non-financial corporations")</f>
        <v>Non-financial corporations</v>
      </c>
      <c r="F631" s="49" t="str">
        <f>'V1.80'!$D$13</f>
        <v>CORP</v>
      </c>
      <c r="G631" s="53" t="str">
        <f ca="1">HYPERLINK("#" &amp; CELL("address", Concepts!$A$15), "Click here for definition")</f>
        <v>Click here for definition</v>
      </c>
    </row>
    <row r="632" spans="1:7" x14ac:dyDescent="0.2">
      <c r="A632">
        <v>631</v>
      </c>
      <c r="B632" t="s">
        <v>1461</v>
      </c>
      <c r="C632" s="53" t="str">
        <f ca="1">HYPERLINK("#" &amp; CELL("address", 'V1.80'!$A$2), "V1.80")</f>
        <v>V1.80</v>
      </c>
      <c r="D632" s="53" t="str">
        <f ca="1">HYPERLINK("#" &amp; CELL("address", 'V1.80'!$C$3), "Customer category")</f>
        <v>Customer category</v>
      </c>
      <c r="E632" s="53" t="str">
        <f ca="1">HYPERLINK("#" &amp; CELL("address", 'V1.80'!$C$14), "Other non-MFI")</f>
        <v>Other non-MFI</v>
      </c>
      <c r="F632" s="49" t="str">
        <f>'V1.80'!$D$14</f>
        <v>ONMF</v>
      </c>
      <c r="G632" s="53" t="str">
        <f ca="1">HYPERLINK("#" &amp; CELL("address", Concepts!$A$16), "Click here for definition")</f>
        <v>Click here for definition</v>
      </c>
    </row>
    <row r="633" spans="1:7" x14ac:dyDescent="0.2">
      <c r="A633">
        <v>632</v>
      </c>
      <c r="B633" t="s">
        <v>1461</v>
      </c>
      <c r="C633" s="53" t="str">
        <f ca="1">HYPERLINK("#" &amp; CELL("address", 'V1.80'!$A$2), "V1.80")</f>
        <v>V1.80</v>
      </c>
      <c r="D633" s="53" t="str">
        <f ca="1">HYPERLINK("#" &amp; CELL("address", 'V1.80'!$C$3), "Customer category")</f>
        <v>Customer category</v>
      </c>
      <c r="E633" s="53" t="str">
        <f ca="1">HYPERLINK("#" &amp; CELL("address", 'V1.80'!$C$15), "Own account operation")</f>
        <v>Own account operation</v>
      </c>
      <c r="F633" s="49" t="str">
        <f>'V1.80'!$D$15</f>
        <v>OWNA</v>
      </c>
      <c r="G633" s="53" t="str">
        <f ca="1">HYPERLINK("#" &amp; CELL("address", Concepts!$A$17), "Click here for definition")</f>
        <v>Click here for definition</v>
      </c>
    </row>
    <row r="634" spans="1:7" x14ac:dyDescent="0.2">
      <c r="A634">
        <v>633</v>
      </c>
      <c r="B634" t="s">
        <v>1461</v>
      </c>
      <c r="C634" s="53" t="str">
        <f ca="1">HYPERLINK("#" &amp; CELL("address", 'V1.80'!$A$2), "V1.80")</f>
        <v>V1.80</v>
      </c>
      <c r="D634" s="53" t="str">
        <f ca="1">HYPERLINK("#" &amp; CELL("address", 'V1.80'!$C$3), "Customer category")</f>
        <v>Customer category</v>
      </c>
      <c r="E634" s="53" t="str">
        <f ca="1">HYPERLINK("#" &amp; CELL("address", 'V1.80'!$C$16), "Unknown")</f>
        <v>Unknown</v>
      </c>
      <c r="F634" s="49" t="str">
        <f>'V1.80'!$D$16</f>
        <v>UNKN</v>
      </c>
      <c r="G634" s="53" t="str">
        <f ca="1">HYPERLINK("#" &amp; CELL("address", Concepts!$A$18), "Click here for definition")</f>
        <v>Click here for definition</v>
      </c>
    </row>
    <row r="635" spans="1:7" x14ac:dyDescent="0.2">
      <c r="A635">
        <v>634</v>
      </c>
      <c r="B635" t="s">
        <v>1461</v>
      </c>
      <c r="C635" s="53" t="str">
        <f ca="1">HYPERLINK("#" &amp; CELL("address", 'V1.80'!$A$2), "V1.80")</f>
        <v>V1.80</v>
      </c>
      <c r="D635" s="53" t="str">
        <f ca="1">HYPERLINK("#" &amp; CELL("address", 'V1.80'!$E$3), "Operation type")</f>
        <v>Operation type</v>
      </c>
      <c r="E635" s="53" t="str">
        <f ca="1">HYPERLINK("#" &amp; CELL("address", 'V1.80'!$E$5), "Interest")</f>
        <v>Interest</v>
      </c>
      <c r="F635" s="49" t="str">
        <f>'V1.80'!$F$5</f>
        <v>INTR</v>
      </c>
      <c r="G635" s="53" t="str">
        <f ca="1">HYPERLINK("#" &amp; CELL("address", Concepts!$A$157), "Click here for definition")</f>
        <v>Click here for definition</v>
      </c>
    </row>
    <row r="636" spans="1:7" x14ac:dyDescent="0.2">
      <c r="A636">
        <v>635</v>
      </c>
      <c r="B636" t="s">
        <v>1461</v>
      </c>
      <c r="C636" s="53" t="str">
        <f ca="1">HYPERLINK("#" &amp; CELL("address", 'V1.80'!$A$2), "V1.80")</f>
        <v>V1.80</v>
      </c>
      <c r="D636" s="53" t="str">
        <f ca="1">HYPERLINK("#" &amp; CELL("address", 'V1.80'!$E$3), "Operation type")</f>
        <v>Operation type</v>
      </c>
      <c r="E636" s="53" t="str">
        <f ca="1">HYPERLINK("#" &amp; CELL("address", 'V1.80'!$E$6), "Settlement of payment card balances")</f>
        <v>Settlement of payment card balances</v>
      </c>
      <c r="F636" s="49" t="str">
        <f>'V1.80'!$F$6</f>
        <v>SECB</v>
      </c>
      <c r="G636" s="53" t="str">
        <f ca="1">HYPERLINK("#" &amp; CELL("address", Concepts!$A$158), "Click here for definition")</f>
        <v>Click here for definition</v>
      </c>
    </row>
    <row r="637" spans="1:7" x14ac:dyDescent="0.2">
      <c r="A637">
        <v>636</v>
      </c>
      <c r="B637" t="s">
        <v>1461</v>
      </c>
      <c r="C637" s="53" t="str">
        <f ca="1">HYPERLINK("#" &amp; CELL("address", 'V1.80'!$A$2), "V1.80")</f>
        <v>V1.80</v>
      </c>
      <c r="D637" s="53" t="str">
        <f ca="1">HYPERLINK("#" &amp; CELL("address", 'V1.80'!$E$3), "Operation type")</f>
        <v>Operation type</v>
      </c>
      <c r="E637" s="53" t="str">
        <f ca="1">HYPERLINK("#" &amp; CELL("address", 'V1.80'!$E$7), "Banking fees")</f>
        <v>Banking fees</v>
      </c>
      <c r="F637" s="49" t="str">
        <f>'V1.80'!$F$7</f>
        <v>FEES</v>
      </c>
      <c r="G637" s="53" t="str">
        <f ca="1">HYPERLINK("#" &amp; CELL("address", Concepts!$A$159), "Click here for definition")</f>
        <v>Click here for definition</v>
      </c>
    </row>
    <row r="638" spans="1:7" x14ac:dyDescent="0.2">
      <c r="A638">
        <v>637</v>
      </c>
      <c r="B638" t="s">
        <v>1461</v>
      </c>
      <c r="C638" s="53" t="str">
        <f ca="1">HYPERLINK("#" &amp; CELL("address", 'V1.80'!$A$2), "V1.80")</f>
        <v>V1.80</v>
      </c>
      <c r="D638" s="53" t="str">
        <f ca="1">HYPERLINK("#" &amp; CELL("address", 'V1.80'!$E$3), "Operation type")</f>
        <v>Operation type</v>
      </c>
      <c r="E638" s="53" t="str">
        <f ca="1">HYPERLINK("#" &amp; CELL("address", 'V1.80'!$E$8), "Loans")</f>
        <v>Loans</v>
      </c>
      <c r="F638" s="49" t="str">
        <f>'V1.80'!$F$8</f>
        <v>LOAN</v>
      </c>
      <c r="G638" s="53" t="str">
        <f ca="1">HYPERLINK("#" &amp; CELL("address", Concepts!$A$160), "Click here for definition")</f>
        <v>Click here for definition</v>
      </c>
    </row>
    <row r="639" spans="1:7" x14ac:dyDescent="0.2">
      <c r="A639">
        <v>638</v>
      </c>
      <c r="B639" t="s">
        <v>1461</v>
      </c>
      <c r="C639" s="53" t="str">
        <f ca="1">HYPERLINK("#" &amp; CELL("address", 'V1.80'!$A$2), "V1.80")</f>
        <v>V1.80</v>
      </c>
      <c r="D639" s="53" t="str">
        <f ca="1">HYPERLINK("#" &amp; CELL("address", 'V1.80'!$E$3), "Operation type")</f>
        <v>Operation type</v>
      </c>
      <c r="E639" s="53" t="str">
        <f ca="1">HYPERLINK("#" &amp; CELL("address", 'V1.80'!$E$9), "Securities and investment funds")</f>
        <v>Securities and investment funds</v>
      </c>
      <c r="F639" s="49" t="str">
        <f>'V1.80'!$F$9</f>
        <v>SCFU</v>
      </c>
      <c r="G639" s="53" t="str">
        <f ca="1">HYPERLINK("#" &amp; CELL("address", Concepts!$A$161), "Click here for definition")</f>
        <v>Click here for definition</v>
      </c>
    </row>
    <row r="640" spans="1:7" x14ac:dyDescent="0.2">
      <c r="A640">
        <v>639</v>
      </c>
      <c r="B640" t="s">
        <v>1461</v>
      </c>
      <c r="C640" s="53" t="str">
        <f ca="1">HYPERLINK("#" &amp; CELL("address", 'V1.80'!$A$2), "V1.80")</f>
        <v>V1.80</v>
      </c>
      <c r="D640" s="53" t="str">
        <f ca="1">HYPERLINK("#" &amp; CELL("address", 'V1.80'!$E$3), "Operation type")</f>
        <v>Operation type</v>
      </c>
      <c r="E640" s="53" t="str">
        <f ca="1">HYPERLINK("#" &amp; CELL("address", 'V1.80'!$E$10), "Coupons and dividends")</f>
        <v>Coupons and dividends</v>
      </c>
      <c r="F640" s="49" t="str">
        <f>'V1.80'!$F$10</f>
        <v>CPDV</v>
      </c>
      <c r="G640" s="53" t="str">
        <f ca="1">HYPERLINK("#" &amp; CELL("address", Concepts!$A$162), "Click here for definition")</f>
        <v>Click here for definition</v>
      </c>
    </row>
    <row r="641" spans="1:7" x14ac:dyDescent="0.2">
      <c r="A641">
        <v>640</v>
      </c>
      <c r="B641" t="s">
        <v>1461</v>
      </c>
      <c r="C641" s="53" t="str">
        <f ca="1">HYPERLINK("#" &amp; CELL("address", 'V1.80'!$A$2), "V1.80")</f>
        <v>V1.80</v>
      </c>
      <c r="D641" s="53" t="str">
        <f ca="1">HYPERLINK("#" &amp; CELL("address", 'V1.80'!$E$3), "Operation type")</f>
        <v>Operation type</v>
      </c>
      <c r="E641" s="53" t="str">
        <f ca="1">HYPERLINK("#" &amp; CELL("address", 'V1.80'!$E$11), "Taxes linked to financial assets")</f>
        <v>Taxes linked to financial assets</v>
      </c>
      <c r="F641" s="49" t="str">
        <f>'V1.80'!$F$11</f>
        <v>TAXS</v>
      </c>
      <c r="G641" s="53" t="str">
        <f ca="1">HYPERLINK("#" &amp; CELL("address", Concepts!$A$163), "Click here for definition")</f>
        <v>Click here for definition</v>
      </c>
    </row>
    <row r="642" spans="1:7" x14ac:dyDescent="0.2">
      <c r="A642">
        <v>641</v>
      </c>
      <c r="B642" t="s">
        <v>1461</v>
      </c>
      <c r="C642" s="53" t="str">
        <f ca="1">HYPERLINK("#" &amp; CELL("address", 'V1.80'!$A$2), "V1.80")</f>
        <v>V1.80</v>
      </c>
      <c r="D642" s="53" t="str">
        <f ca="1">HYPERLINK("#" &amp; CELL("address", 'V1.80'!$E$3), "Operation type")</f>
        <v>Operation type</v>
      </c>
      <c r="E642" s="53" t="str">
        <f ca="1">HYPERLINK("#" &amp; CELL("address", 'V1.80'!$E$12), "FOREX transactions")</f>
        <v>FOREX transactions</v>
      </c>
      <c r="F642" s="49" t="str">
        <f>'V1.80'!$F$12</f>
        <v>FREX</v>
      </c>
      <c r="G642" s="53" t="str">
        <f ca="1">HYPERLINK("#" &amp; CELL("address", Concepts!$A$164), "Click here for definition")</f>
        <v>Click here for definition</v>
      </c>
    </row>
    <row r="643" spans="1:7" x14ac:dyDescent="0.2">
      <c r="A643">
        <v>642</v>
      </c>
      <c r="B643" t="s">
        <v>1461</v>
      </c>
      <c r="C643" s="53" t="str">
        <f ca="1">HYPERLINK("#" &amp; CELL("address", 'V1.80'!$A$2), "V1.80")</f>
        <v>V1.80</v>
      </c>
      <c r="D643" s="53" t="str">
        <f ca="1">HYPERLINK("#" &amp; CELL("address", 'V1.80'!$E$3), "Operation type")</f>
        <v>Operation type</v>
      </c>
      <c r="E643" s="53" t="str">
        <f ca="1">HYPERLINK("#" &amp; CELL("address", 'V1.80'!$E$13), "Other")</f>
        <v>Other</v>
      </c>
      <c r="F643" s="49" t="str">
        <f>'V1.80'!$F$13</f>
        <v>OTHR</v>
      </c>
      <c r="G643" s="53"/>
    </row>
    <row r="644" spans="1:7" x14ac:dyDescent="0.2">
      <c r="A644">
        <v>643</v>
      </c>
      <c r="B644" t="s">
        <v>1461</v>
      </c>
      <c r="C644" s="53" t="str">
        <f ca="1">HYPERLINK("#" &amp; CELL("address", 'V1.80'!$A$2), "V1.80")</f>
        <v>V1.80</v>
      </c>
      <c r="D644" s="53" t="str">
        <f ca="1">HYPERLINK("#" &amp; CELL("address", 'V1.80'!$G$3), "Currency")</f>
        <v>Currency</v>
      </c>
      <c r="E644" s="53" t="str">
        <f ca="1">HYPERLINK("#" &amp; CELL("address", 'V1.80'!$G$4), "3-letter ISO 4217 currency code")</f>
        <v>3-letter ISO 4217 currency code</v>
      </c>
      <c r="F644" s="49" t="str">
        <f>'V1.80'!$H$4</f>
        <v>[Currency]</v>
      </c>
      <c r="G644" s="53" t="str">
        <f ca="1">HYPERLINK("#" &amp; CELL("address", Concepts!$A$146), "Click here for definition")</f>
        <v>Click here for definition</v>
      </c>
    </row>
    <row r="645" spans="1:7" x14ac:dyDescent="0.2">
      <c r="A645">
        <v>644</v>
      </c>
      <c r="B645" t="s">
        <v>1461</v>
      </c>
      <c r="C645" s="53" t="str">
        <f ca="1">HYPERLINK("#" &amp; CELL("address", 'V1.80'!$A$2), "V1.80")</f>
        <v>V1.80</v>
      </c>
      <c r="D645" s="53" t="str">
        <f ca="1">HYPERLINK("#" &amp; CELL("address", 'V1.80'!$I$3), "Metric")</f>
        <v>Metric</v>
      </c>
      <c r="E645" s="53" t="str">
        <f ca="1">HYPERLINK("#" &amp; CELL("address", 'V1.80'!$I$4), "Number of transactions")</f>
        <v>Number of transactions</v>
      </c>
      <c r="F645" s="49" t="str">
        <f>'V1.80'!$J$4</f>
        <v>VOLU</v>
      </c>
      <c r="G645" s="53" t="str">
        <f ca="1">HYPERLINK("#" &amp; CELL("address", Concepts!$A$147), "Click here for definition")</f>
        <v>Click here for definition</v>
      </c>
    </row>
    <row r="646" spans="1:7" x14ac:dyDescent="0.2">
      <c r="A646">
        <v>645</v>
      </c>
      <c r="B646" t="s">
        <v>1461</v>
      </c>
      <c r="C646" s="53" t="str">
        <f ca="1">HYPERLINK("#" &amp; CELL("address", 'V1.80'!$A$2), "V1.80")</f>
        <v>V1.80</v>
      </c>
      <c r="D646" s="53" t="str">
        <f ca="1">HYPERLINK("#" &amp; CELL("address", 'V1.80'!$I$3), "Metric")</f>
        <v>Metric</v>
      </c>
      <c r="E646" s="53" t="str">
        <f ca="1">HYPERLINK("#" &amp; CELL("address", 'V1.80'!$I$5), "Value of transactions")</f>
        <v>Value of transactions</v>
      </c>
      <c r="F646" s="49" t="str">
        <f>'V1.80'!$J$5</f>
        <v>VALE</v>
      </c>
      <c r="G646" s="53" t="str">
        <f ca="1">HYPERLINK("#" &amp; CELL("address", Concepts!$A$148), "Click here for definition")</f>
        <v>Click here for definition</v>
      </c>
    </row>
    <row r="647" spans="1:7" x14ac:dyDescent="0.2">
      <c r="A647">
        <v>646</v>
      </c>
      <c r="B647" t="s">
        <v>1462</v>
      </c>
      <c r="C647" s="53" t="str">
        <f ca="1">HYPERLINK("#" &amp; CELL("address", 'V1.90'!$A$2), "V1.90")</f>
        <v>V1.90</v>
      </c>
      <c r="D647" s="53" t="str">
        <f ca="1">HYPERLINK("#" &amp; CELL("address", 'V1.90'!$A$3), "Medium type")</f>
        <v>Medium type</v>
      </c>
      <c r="E647" s="53" t="str">
        <f ca="1">HYPERLINK("#" &amp; CELL("address", 'V1.90'!$A$4), "Software")</f>
        <v>Software</v>
      </c>
      <c r="F647" s="49" t="str">
        <f>'V1.90'!$B$4</f>
        <v>SFTW</v>
      </c>
      <c r="G647" s="53" t="str">
        <f ca="1">HYPERLINK("#" &amp; CELL("address", Concepts!$A$165), "Click here for definition")</f>
        <v>Click here for definition</v>
      </c>
    </row>
    <row r="648" spans="1:7" x14ac:dyDescent="0.2">
      <c r="A648">
        <v>647</v>
      </c>
      <c r="B648" t="s">
        <v>1462</v>
      </c>
      <c r="C648" s="53" t="str">
        <f ca="1">HYPERLINK("#" &amp; CELL("address", 'V1.90'!$A$2), "V1.90")</f>
        <v>V1.90</v>
      </c>
      <c r="D648" s="53" t="str">
        <f ca="1">HYPERLINK("#" &amp; CELL("address", 'V1.90'!$A$3), "Medium type")</f>
        <v>Medium type</v>
      </c>
      <c r="E648" s="53" t="str">
        <f ca="1">HYPERLINK("#" &amp; CELL("address", 'V1.90'!$A$5), "E-money card")</f>
        <v>E-money card</v>
      </c>
      <c r="F648" s="49" t="str">
        <f>'V1.90'!$B$5</f>
        <v>EMCA</v>
      </c>
      <c r="G648" s="53" t="str">
        <f ca="1">HYPERLINK("#" &amp; CELL("address", Concepts!$A$166), "Click here for definition")</f>
        <v>Click here for definition</v>
      </c>
    </row>
    <row r="649" spans="1:7" x14ac:dyDescent="0.2">
      <c r="A649">
        <v>648</v>
      </c>
      <c r="B649" t="s">
        <v>1462</v>
      </c>
      <c r="C649" s="53" t="str">
        <f ca="1">HYPERLINK("#" &amp; CELL("address", 'V1.90'!$A$2), "V1.90")</f>
        <v>V1.90</v>
      </c>
      <c r="D649" s="53" t="str">
        <f ca="1">HYPERLINK("#" &amp; CELL("address", 'V1.90'!$C$3), "Operation type")</f>
        <v>Operation type</v>
      </c>
      <c r="E649" s="53" t="str">
        <f ca="1">HYPERLINK("#" &amp; CELL("address", 'V1.90'!$C$4), "Funding")</f>
        <v>Funding</v>
      </c>
      <c r="F649" s="49" t="str">
        <f>'V1.90'!$D$4</f>
        <v>FUND</v>
      </c>
      <c r="G649" s="53" t="str">
        <f ca="1">HYPERLINK("#" &amp; CELL("address", Concepts!$A$131), "Click here for definition")</f>
        <v>Click here for definition</v>
      </c>
    </row>
    <row r="650" spans="1:7" x14ac:dyDescent="0.2">
      <c r="A650">
        <v>649</v>
      </c>
      <c r="B650" t="s">
        <v>1462</v>
      </c>
      <c r="C650" s="53" t="str">
        <f ca="1">HYPERLINK("#" &amp; CELL("address", 'V1.90'!$A$2), "V1.90")</f>
        <v>V1.90</v>
      </c>
      <c r="D650" s="53" t="str">
        <f ca="1">HYPERLINK("#" &amp; CELL("address", 'V1.90'!$C$3), "Operation type")</f>
        <v>Operation type</v>
      </c>
      <c r="E650" s="53" t="str">
        <f ca="1">HYPERLINK("#" &amp; CELL("address", 'V1.90'!$C$5), "Merchant funding")</f>
        <v>Merchant funding</v>
      </c>
      <c r="F650" s="49" t="str">
        <f>'V1.90'!$D$5</f>
        <v>FUNM</v>
      </c>
      <c r="G650" s="53" t="str">
        <f ca="1">HYPERLINK("#" &amp; CELL("address", Concepts!$A$167), "Click here for definition")</f>
        <v>Click here for definition</v>
      </c>
    </row>
    <row r="651" spans="1:7" x14ac:dyDescent="0.2">
      <c r="A651">
        <v>650</v>
      </c>
      <c r="B651" t="s">
        <v>1462</v>
      </c>
      <c r="C651" s="53" t="str">
        <f ca="1">HYPERLINK("#" &amp; CELL("address", 'V1.90'!$A$2), "V1.90")</f>
        <v>V1.90</v>
      </c>
      <c r="D651" s="53" t="str">
        <f ca="1">HYPERLINK("#" &amp; CELL("address", 'V1.90'!$C$3), "Operation type")</f>
        <v>Operation type</v>
      </c>
      <c r="E651" s="53" t="str">
        <f ca="1">HYPERLINK("#" &amp; CELL("address", 'V1.90'!$C$6), "Funding related to transactions with cards which give access to e-money stored on a software based e-money account")</f>
        <v>Funding related to transactions with cards which give access to e-money stored on a software based e-money account</v>
      </c>
      <c r="F651" s="49" t="str">
        <f>'V1.90'!$D$6</f>
        <v>FUNC</v>
      </c>
      <c r="G651" s="53" t="str">
        <f ca="1">HYPERLINK("#" &amp; CELL("address", Concepts!$A$168), "Click here for definition")</f>
        <v>Click here for definition</v>
      </c>
    </row>
    <row r="652" spans="1:7" x14ac:dyDescent="0.2">
      <c r="A652">
        <v>651</v>
      </c>
      <c r="B652" t="s">
        <v>1462</v>
      </c>
      <c r="C652" s="53" t="str">
        <f ca="1">HYPERLINK("#" &amp; CELL("address", 'V1.90'!$A$2), "V1.90")</f>
        <v>V1.90</v>
      </c>
      <c r="D652" s="53" t="str">
        <f ca="1">HYPERLINK("#" &amp; CELL("address", 'V1.90'!$C$3), "Operation type")</f>
        <v>Operation type</v>
      </c>
      <c r="E652" s="53" t="str">
        <f ca="1">HYPERLINK("#" &amp; CELL("address", 'V1.90'!$C$7), "Withdrawal")</f>
        <v>Withdrawal</v>
      </c>
      <c r="F652" s="49" t="str">
        <f>'V1.90'!$D$7</f>
        <v>WITH</v>
      </c>
      <c r="G652" s="53" t="str">
        <f ca="1">HYPERLINK("#" &amp; CELL("address", Concepts!$A$132), "Click here for definition")</f>
        <v>Click here for definition</v>
      </c>
    </row>
    <row r="653" spans="1:7" x14ac:dyDescent="0.2">
      <c r="A653">
        <v>652</v>
      </c>
      <c r="B653" t="s">
        <v>1462</v>
      </c>
      <c r="C653" s="53" t="str">
        <f ca="1">HYPERLINK("#" &amp; CELL("address", 'V1.90'!$A$2), "V1.90")</f>
        <v>V1.90</v>
      </c>
      <c r="D653" s="53" t="str">
        <f ca="1">HYPERLINK("#" &amp; CELL("address", 'V1.90'!$C$3), "Operation type")</f>
        <v>Operation type</v>
      </c>
      <c r="E653" s="53" t="str">
        <f ca="1">HYPERLINK("#" &amp; CELL("address", 'V1.90'!$C$8), "Merchant withdrawal")</f>
        <v>Merchant withdrawal</v>
      </c>
      <c r="F653" s="49" t="str">
        <f>'V1.90'!$D$8</f>
        <v>WITM</v>
      </c>
      <c r="G653" s="53" t="str">
        <f ca="1">HYPERLINK("#" &amp; CELL("address", Concepts!$A$169), "Click here for definition")</f>
        <v>Click here for definition</v>
      </c>
    </row>
    <row r="654" spans="1:7" x14ac:dyDescent="0.2">
      <c r="A654">
        <v>653</v>
      </c>
      <c r="B654" t="s">
        <v>1462</v>
      </c>
      <c r="C654" s="53" t="str">
        <f ca="1">HYPERLINK("#" &amp; CELL("address", 'V1.90'!$A$2), "V1.90")</f>
        <v>V1.90</v>
      </c>
      <c r="D654" s="53" t="str">
        <f ca="1">HYPERLINK("#" &amp; CELL("address", 'V1.90'!$C$3), "Operation type")</f>
        <v>Operation type</v>
      </c>
      <c r="E654" s="53" t="str">
        <f ca="1">HYPERLINK("#" &amp; CELL("address", 'V1.90'!$C$9), "Withdrawal related to transactions with cards which give access to e-money stored on a software based e-money account")</f>
        <v>Withdrawal related to transactions with cards which give access to e-money stored on a software based e-money account</v>
      </c>
      <c r="F654" s="49" t="str">
        <f>'V1.90'!$D$9</f>
        <v>WITC</v>
      </c>
      <c r="G654" s="53" t="str">
        <f ca="1">HYPERLINK("#" &amp; CELL("address", Concepts!$A$170), "Click here for definition")</f>
        <v>Click here for definition</v>
      </c>
    </row>
    <row r="655" spans="1:7" x14ac:dyDescent="0.2">
      <c r="A655">
        <v>654</v>
      </c>
      <c r="B655" t="s">
        <v>1462</v>
      </c>
      <c r="C655" s="53" t="str">
        <f ca="1">HYPERLINK("#" &amp; CELL("address", 'V1.90'!$A$2), "V1.90")</f>
        <v>V1.90</v>
      </c>
      <c r="D655" s="53" t="str">
        <f ca="1">HYPERLINK("#" &amp; CELL("address", 'V1.90'!$E$3), "Underlying payment instrument")</f>
        <v>Underlying payment instrument</v>
      </c>
      <c r="E655" s="53" t="str">
        <f ca="1">HYPERLINK("#" &amp; CELL("address", 'V1.90'!$E$4), "Credit transfer")</f>
        <v>Credit transfer</v>
      </c>
      <c r="F655" s="49" t="str">
        <f>'V1.90'!$F$4</f>
        <v>CRTR</v>
      </c>
      <c r="G655" s="53" t="str">
        <f ca="1">HYPERLINK("#" &amp; CELL("address", Concepts!$A$134), "Click here for definition")</f>
        <v>Click here for definition</v>
      </c>
    </row>
    <row r="656" spans="1:7" x14ac:dyDescent="0.2">
      <c r="A656">
        <v>655</v>
      </c>
      <c r="B656" t="s">
        <v>1462</v>
      </c>
      <c r="C656" s="53" t="str">
        <f ca="1">HYPERLINK("#" &amp; CELL("address", 'V1.90'!$A$2), "V1.90")</f>
        <v>V1.90</v>
      </c>
      <c r="D656" s="53" t="str">
        <f ca="1">HYPERLINK("#" &amp; CELL("address", 'V1.90'!$E$3), "Underlying payment instrument")</f>
        <v>Underlying payment instrument</v>
      </c>
      <c r="E656" s="53" t="str">
        <f ca="1">HYPERLINK("#" &amp; CELL("address", 'V1.90'!$E$5), "Direct debit")</f>
        <v>Direct debit</v>
      </c>
      <c r="F656" s="49" t="str">
        <f>'V1.90'!$F$5</f>
        <v>DIDE</v>
      </c>
      <c r="G656" s="53" t="str">
        <f ca="1">HYPERLINK("#" &amp; CELL("address", Concepts!$A$135), "Click here for definition")</f>
        <v>Click here for definition</v>
      </c>
    </row>
    <row r="657" spans="1:7" x14ac:dyDescent="0.2">
      <c r="A657">
        <v>656</v>
      </c>
      <c r="B657" t="s">
        <v>1462</v>
      </c>
      <c r="C657" s="53" t="str">
        <f ca="1">HYPERLINK("#" &amp; CELL("address", 'V1.90'!$A$2), "V1.90")</f>
        <v>V1.90</v>
      </c>
      <c r="D657" s="53" t="str">
        <f ca="1">HYPERLINK("#" &amp; CELL("address", 'V1.90'!$E$3), "Underlying payment instrument")</f>
        <v>Underlying payment instrument</v>
      </c>
      <c r="E657" s="53" t="str">
        <f ca="1">HYPERLINK("#" &amp; CELL("address", 'V1.90'!$E$6), "Payment card")</f>
        <v>Payment card</v>
      </c>
      <c r="F657" s="49" t="str">
        <f>'V1.90'!$F$6</f>
        <v>PMCA</v>
      </c>
      <c r="G657" s="53" t="str">
        <f ca="1">HYPERLINK("#" &amp; CELL("address", Concepts!$A$136), "Click here for definition")</f>
        <v>Click here for definition</v>
      </c>
    </row>
    <row r="658" spans="1:7" x14ac:dyDescent="0.2">
      <c r="A658">
        <v>657</v>
      </c>
      <c r="B658" t="s">
        <v>1462</v>
      </c>
      <c r="C658" s="53" t="str">
        <f ca="1">HYPERLINK("#" &amp; CELL("address", 'V1.90'!$A$2), "V1.90")</f>
        <v>V1.90</v>
      </c>
      <c r="D658" s="53" t="str">
        <f ca="1">HYPERLINK("#" &amp; CELL("address", 'V1.90'!$E$3), "Underlying payment instrument")</f>
        <v>Underlying payment instrument</v>
      </c>
      <c r="E658" s="53" t="str">
        <f ca="1">HYPERLINK("#" &amp; CELL("address", 'V1.90'!$E$7), "Other")</f>
        <v>Other</v>
      </c>
      <c r="F658" s="49" t="str">
        <f>'V1.90'!$F$7</f>
        <v>OTHR</v>
      </c>
      <c r="G658" s="53"/>
    </row>
    <row r="659" spans="1:7" x14ac:dyDescent="0.2">
      <c r="A659">
        <v>658</v>
      </c>
      <c r="B659" t="s">
        <v>1462</v>
      </c>
      <c r="C659" s="53" t="str">
        <f ca="1">HYPERLINK("#" &amp; CELL("address", 'V1.90'!$A$2), "V1.90")</f>
        <v>V1.90</v>
      </c>
      <c r="D659" s="53" t="str">
        <f ca="1">HYPERLINK("#" &amp; CELL("address", 'V1.90'!$G$3), "Country of debtor's PSP")</f>
        <v>Country of debtor's PSP</v>
      </c>
      <c r="E659" s="53" t="str">
        <f ca="1">HYPERLINK("#" &amp; CELL("address", 'V1.90'!$G$5), "Luxembourg")</f>
        <v>Luxembourg</v>
      </c>
      <c r="F659" s="49" t="str">
        <f>'V1.90'!$H$5</f>
        <v>LU</v>
      </c>
      <c r="G659" s="53"/>
    </row>
    <row r="660" spans="1:7" x14ac:dyDescent="0.2">
      <c r="A660">
        <v>659</v>
      </c>
      <c r="B660" t="s">
        <v>1462</v>
      </c>
      <c r="C660" s="53" t="str">
        <f ca="1">HYPERLINK("#" &amp; CELL("address", 'V1.90'!$A$2), "V1.90")</f>
        <v>V1.90</v>
      </c>
      <c r="D660" s="53" t="str">
        <f ca="1">HYPERLINK("#" &amp; CELL("address", 'V1.90'!$G$3), "Country of debtor's PSP")</f>
        <v>Country of debtor's PSP</v>
      </c>
      <c r="E660" s="53" t="str">
        <f ca="1">HYPERLINK("#" &amp; CELL("address", 'V1.90'!$G$7), "2-letter ISO 3166 country code")</f>
        <v>2-letter ISO 3166 country code</v>
      </c>
      <c r="F660" s="49" t="str">
        <f>'V1.90'!$H$7</f>
        <v>[Geo]</v>
      </c>
      <c r="G660" s="53" t="str">
        <f ca="1">HYPERLINK("#" &amp; CELL("address", Concepts!$A$145), "Click here for definition")</f>
        <v>Click here for definition</v>
      </c>
    </row>
    <row r="661" spans="1:7" x14ac:dyDescent="0.2">
      <c r="A661">
        <v>660</v>
      </c>
      <c r="B661" t="s">
        <v>1462</v>
      </c>
      <c r="C661" s="53" t="str">
        <f ca="1">HYPERLINK("#" &amp; CELL("address", 'V1.90'!$A$2), "V1.90")</f>
        <v>V1.90</v>
      </c>
      <c r="D661" s="53" t="str">
        <f ca="1">HYPERLINK("#" &amp; CELL("address", 'V1.90'!$I$3), "Country of creditor's PSP")</f>
        <v>Country of creditor's PSP</v>
      </c>
      <c r="E661" s="53" t="str">
        <f ca="1">HYPERLINK("#" &amp; CELL("address", 'V1.90'!$I$5), "2-letter ISO 3166 country code")</f>
        <v>2-letter ISO 3166 country code</v>
      </c>
      <c r="F661" s="49" t="str">
        <f>'V1.90'!$J$5</f>
        <v>[Geo]</v>
      </c>
      <c r="G661" s="53" t="str">
        <f ca="1">HYPERLINK("#" &amp; CELL("address", Concepts!$A$145), "Click here for definition")</f>
        <v>Click here for definition</v>
      </c>
    </row>
    <row r="662" spans="1:7" x14ac:dyDescent="0.2">
      <c r="A662">
        <v>661</v>
      </c>
      <c r="B662" t="s">
        <v>1462</v>
      </c>
      <c r="C662" s="53" t="str">
        <f ca="1">HYPERLINK("#" &amp; CELL("address", 'V1.90'!$A$2), "V1.90")</f>
        <v>V1.90</v>
      </c>
      <c r="D662" s="53" t="str">
        <f ca="1">HYPERLINK("#" &amp; CELL("address", 'V1.90'!$I$3), "Country of creditor's PSP")</f>
        <v>Country of creditor's PSP</v>
      </c>
      <c r="E662" s="53" t="str">
        <f ca="1">HYPERLINK("#" &amp; CELL("address", 'V1.90'!$I$7), "Luxembourg")</f>
        <v>Luxembourg</v>
      </c>
      <c r="F662" s="49" t="str">
        <f>'V1.90'!$J$7</f>
        <v>LU</v>
      </c>
      <c r="G662" s="53"/>
    </row>
    <row r="663" spans="1:7" x14ac:dyDescent="0.2">
      <c r="A663">
        <v>662</v>
      </c>
      <c r="B663" t="s">
        <v>1462</v>
      </c>
      <c r="C663" s="53" t="str">
        <f ca="1">HYPERLINK("#" &amp; CELL("address", 'V1.90'!$A$2), "V1.90")</f>
        <v>V1.90</v>
      </c>
      <c r="D663" s="53" t="str">
        <f ca="1">HYPERLINK("#" &amp; CELL("address", 'V1.90'!$K$3), "Country of residence of account holder")</f>
        <v>Country of residence of account holder</v>
      </c>
      <c r="E663" s="53" t="str">
        <f ca="1">HYPERLINK("#" &amp; CELL("address", 'V1.90'!$K$4), "2-letter ISO 3166 country code")</f>
        <v>2-letter ISO 3166 country code</v>
      </c>
      <c r="F663" s="49" t="str">
        <f>'V1.90'!$L$4</f>
        <v>[Geo]</v>
      </c>
      <c r="G663" s="53" t="str">
        <f ca="1">HYPERLINK("#" &amp; CELL("address", Concepts!$A$145), "Click here for definition")</f>
        <v>Click here for definition</v>
      </c>
    </row>
    <row r="664" spans="1:7" x14ac:dyDescent="0.2">
      <c r="A664">
        <v>663</v>
      </c>
      <c r="B664" t="s">
        <v>1462</v>
      </c>
      <c r="C664" s="53" t="str">
        <f ca="1">HYPERLINK("#" &amp; CELL("address", 'V1.90'!$A$2), "V1.90")</f>
        <v>V1.90</v>
      </c>
      <c r="D664" s="53" t="str">
        <f ca="1">HYPERLINK("#" &amp; CELL("address", 'V1.90'!$M$3), "Currency")</f>
        <v>Currency</v>
      </c>
      <c r="E664" s="53" t="str">
        <f ca="1">HYPERLINK("#" &amp; CELL("address", 'V1.90'!$M$4), "3-letter ISO 4217 currency code")</f>
        <v>3-letter ISO 4217 currency code</v>
      </c>
      <c r="F664" s="49" t="str">
        <f>'V1.90'!$N$4</f>
        <v>[Currency]</v>
      </c>
      <c r="G664" s="53" t="str">
        <f ca="1">HYPERLINK("#" &amp; CELL("address", Concepts!$A$146), "Click here for definition")</f>
        <v>Click here for definition</v>
      </c>
    </row>
    <row r="665" spans="1:7" x14ac:dyDescent="0.2">
      <c r="A665">
        <v>664</v>
      </c>
      <c r="B665" t="s">
        <v>1462</v>
      </c>
      <c r="C665" s="53" t="str">
        <f ca="1">HYPERLINK("#" &amp; CELL("address", 'V1.90'!$A$2), "V1.90")</f>
        <v>V1.90</v>
      </c>
      <c r="D665" s="53" t="str">
        <f ca="1">HYPERLINK("#" &amp; CELL("address", 'V1.90'!$O$3), "Metric")</f>
        <v>Metric</v>
      </c>
      <c r="E665" s="53" t="str">
        <f ca="1">HYPERLINK("#" &amp; CELL("address", 'V1.90'!$O$4), "Number of transactions")</f>
        <v>Number of transactions</v>
      </c>
      <c r="F665" s="49" t="str">
        <f>'V1.90'!$P$4</f>
        <v>VOLU</v>
      </c>
      <c r="G665" s="53" t="str">
        <f ca="1">HYPERLINK("#" &amp; CELL("address", Concepts!$A$147), "Click here for definition")</f>
        <v>Click here for definition</v>
      </c>
    </row>
    <row r="666" spans="1:7" x14ac:dyDescent="0.2">
      <c r="A666">
        <v>665</v>
      </c>
      <c r="B666" t="s">
        <v>1462</v>
      </c>
      <c r="C666" s="53" t="str">
        <f ca="1">HYPERLINK("#" &amp; CELL("address", 'V1.90'!$A$2), "V1.90")</f>
        <v>V1.90</v>
      </c>
      <c r="D666" s="53" t="str">
        <f ca="1">HYPERLINK("#" &amp; CELL("address", 'V1.90'!$O$3), "Metric")</f>
        <v>Metric</v>
      </c>
      <c r="E666" s="53" t="str">
        <f ca="1">HYPERLINK("#" &amp; CELL("address", 'V1.90'!$O$5), "Value of transactions")</f>
        <v>Value of transactions</v>
      </c>
      <c r="F666" s="49" t="str">
        <f>'V1.90'!$P$5</f>
        <v>VALE</v>
      </c>
      <c r="G666" s="53" t="str">
        <f ca="1">HYPERLINK("#" &amp; CELL("address", Concepts!$A$148), "Click here for definition")</f>
        <v>Click here for definition</v>
      </c>
    </row>
    <row r="667" spans="1:7" x14ac:dyDescent="0.2">
      <c r="A667">
        <v>666</v>
      </c>
      <c r="B667" t="s">
        <v>1537</v>
      </c>
      <c r="C667" s="53" t="str">
        <f ca="1">HYPERLINK("#" &amp; CELL("address", 'V1.91+V1.91-F'!$A$2), "V1.91")</f>
        <v>V1.91</v>
      </c>
      <c r="D667" s="53" t="str">
        <f ca="1">HYPERLINK("#" &amp; CELL("address", 'V1.91+V1.91-F'!$A$3), "Medium type")</f>
        <v>Medium type</v>
      </c>
      <c r="E667" s="53" t="str">
        <f ca="1">HYPERLINK("#" &amp; CELL("address", 'V1.91+V1.91-F'!$A$4), "Software")</f>
        <v>Software</v>
      </c>
      <c r="F667" s="49" t="str">
        <f>'V1.91+V1.91-F'!$B$4</f>
        <v>SFTW</v>
      </c>
      <c r="G667" s="53" t="str">
        <f ca="1">HYPERLINK("#" &amp; CELL("address", Concepts!$A$165), "Click here for definition")</f>
        <v>Click here for definition</v>
      </c>
    </row>
    <row r="668" spans="1:7" x14ac:dyDescent="0.2">
      <c r="A668">
        <v>667</v>
      </c>
      <c r="B668" t="s">
        <v>1537</v>
      </c>
      <c r="C668" s="53" t="str">
        <f ca="1">HYPERLINK("#" &amp; CELL("address", 'V1.91+V1.91-F'!$A$2), "V1.91")</f>
        <v>V1.91</v>
      </c>
      <c r="D668" s="53" t="str">
        <f ca="1">HYPERLINK("#" &amp; CELL("address", 'V1.91+V1.91-F'!$A$3), "Medium type")</f>
        <v>Medium type</v>
      </c>
      <c r="E668" s="53" t="str">
        <f ca="1">HYPERLINK("#" &amp; CELL("address", 'V1.91+V1.91-F'!$A$5), "E-money card")</f>
        <v>E-money card</v>
      </c>
      <c r="F668" s="49" t="str">
        <f>'V1.91+V1.91-F'!$B$5</f>
        <v>EMCA</v>
      </c>
      <c r="G668" s="53" t="str">
        <f ca="1">HYPERLINK("#" &amp; CELL("address", Concepts!$A$166), "Click here for definition")</f>
        <v>Click here for definition</v>
      </c>
    </row>
    <row r="669" spans="1:7" x14ac:dyDescent="0.2">
      <c r="A669">
        <v>668</v>
      </c>
      <c r="B669" t="s">
        <v>1537</v>
      </c>
      <c r="C669" s="53" t="str">
        <f ca="1">HYPERLINK("#" &amp; CELL("address", 'V1.91+V1.91-F'!$A$2), "V1.91")</f>
        <v>V1.91</v>
      </c>
      <c r="D669" s="53" t="str">
        <f ca="1">HYPERLINK("#" &amp; CELL("address", 'V1.91+V1.91-F'!$C$3), "Transfer type")</f>
        <v>Transfer type</v>
      </c>
      <c r="E669" s="53" t="str">
        <f ca="1">HYPERLINK("#" &amp; CELL("address", 'V1.91+V1.91-F'!$C$4), "Purchase")</f>
        <v>Purchase</v>
      </c>
      <c r="F669" s="49" t="str">
        <f>'V1.91+V1.91-F'!$D$4</f>
        <v>PURC</v>
      </c>
      <c r="G669" s="53" t="str">
        <f ca="1">HYPERLINK("#" &amp; CELL("address", Concepts!$A$171), "Click here for definition")</f>
        <v>Click here for definition</v>
      </c>
    </row>
    <row r="670" spans="1:7" x14ac:dyDescent="0.2">
      <c r="A670">
        <v>669</v>
      </c>
      <c r="B670" t="s">
        <v>1537</v>
      </c>
      <c r="C670" s="53" t="str">
        <f ca="1">HYPERLINK("#" &amp; CELL("address", 'V1.91+V1.91-F'!$A$2), "V1.91")</f>
        <v>V1.91</v>
      </c>
      <c r="D670" s="53" t="str">
        <f ca="1">HYPERLINK("#" &amp; CELL("address", 'V1.91+V1.91-F'!$C$3), "Transfer type")</f>
        <v>Transfer type</v>
      </c>
      <c r="E670" s="53" t="str">
        <f ca="1">HYPERLINK("#" &amp; CELL("address", 'V1.91+V1.91-F'!$C$5), "Peer-to-peer (P2P)")</f>
        <v>Peer-to-peer (P2P)</v>
      </c>
      <c r="F670" s="49" t="str">
        <f>'V1.91+V1.91-F'!$D$5</f>
        <v>PEER</v>
      </c>
      <c r="G670" s="53" t="str">
        <f ca="1">HYPERLINK("#" &amp; CELL("address", Concepts!$A$172), "Click here for definition")</f>
        <v>Click here for definition</v>
      </c>
    </row>
    <row r="671" spans="1:7" x14ac:dyDescent="0.2">
      <c r="A671">
        <v>670</v>
      </c>
      <c r="B671" t="s">
        <v>1537</v>
      </c>
      <c r="C671" s="53" t="str">
        <f ca="1">HYPERLINK("#" &amp; CELL("address", 'V1.91+V1.91-F'!$A$2), "V1.91")</f>
        <v>V1.91</v>
      </c>
      <c r="D671" s="53" t="str">
        <f ca="1">HYPERLINK("#" &amp; CELL("address", 'V1.91+V1.91-F'!$C$3), "Transfer type")</f>
        <v>Transfer type</v>
      </c>
      <c r="E671" s="53" t="str">
        <f ca="1">HYPERLINK("#" &amp; CELL("address", 'V1.91+V1.91-F'!$C$6), "Unknown")</f>
        <v>Unknown</v>
      </c>
      <c r="F671" s="49" t="str">
        <f>'V1.91+V1.91-F'!$D$6</f>
        <v>UNKN</v>
      </c>
      <c r="G671" s="53" t="str">
        <f ca="1">HYPERLINK("#" &amp; CELL("address", Concepts!$A$173), "Click here for definition")</f>
        <v>Click here for definition</v>
      </c>
    </row>
    <row r="672" spans="1:7" x14ac:dyDescent="0.2">
      <c r="A672">
        <v>671</v>
      </c>
      <c r="B672" t="s">
        <v>1537</v>
      </c>
      <c r="C672" s="53" t="str">
        <f ca="1">HYPERLINK("#" &amp; CELL("address", 'V1.91+V1.91-F'!$A$2), "V1.91")</f>
        <v>V1.91</v>
      </c>
      <c r="D672" s="53" t="str">
        <f ca="1">HYPERLINK("#" &amp; CELL("address", 'V1.91+V1.91-F'!$E$3), "Initiation channel")</f>
        <v>Initiation channel</v>
      </c>
      <c r="E672" s="53" t="str">
        <f ca="1">HYPERLINK("#" &amp; CELL("address", 'V1.91+V1.91-F'!$E$5), "P2P MPS")</f>
        <v>P2P MPS</v>
      </c>
      <c r="F672" s="49" t="str">
        <f>'V1.91+V1.91-F'!$F$5</f>
        <v>P2PM</v>
      </c>
      <c r="G672" s="53" t="str">
        <f ca="1">HYPERLINK("#" &amp; CELL("address", Concepts!$A$40), "Click here for definition")</f>
        <v>Click here for definition</v>
      </c>
    </row>
    <row r="673" spans="1:7" x14ac:dyDescent="0.2">
      <c r="A673">
        <v>672</v>
      </c>
      <c r="B673" t="s">
        <v>1537</v>
      </c>
      <c r="C673" s="53" t="str">
        <f ca="1">HYPERLINK("#" &amp; CELL("address", 'V1.91+V1.91-F'!$A$2), "V1.91")</f>
        <v>V1.91</v>
      </c>
      <c r="D673" s="53" t="str">
        <f ca="1">HYPERLINK("#" &amp; CELL("address", 'V1.91+V1.91-F'!$E$3), "Initiation channel")</f>
        <v>Initiation channel</v>
      </c>
      <c r="E673" s="53" t="str">
        <f ca="1">HYPERLINK("#" &amp; CELL("address", 'V1.91+V1.91-F'!$E$6), "Other MPS")</f>
        <v>Other MPS</v>
      </c>
      <c r="F673" s="49" t="str">
        <f>'V1.91+V1.91-F'!$F$6</f>
        <v>OMPS</v>
      </c>
      <c r="G673" s="53" t="str">
        <f ca="1">HYPERLINK("#" &amp; CELL("address", Concepts!$A$41), "Click here for definition")</f>
        <v>Click here for definition</v>
      </c>
    </row>
    <row r="674" spans="1:7" x14ac:dyDescent="0.2">
      <c r="A674">
        <v>673</v>
      </c>
      <c r="B674" t="s">
        <v>1537</v>
      </c>
      <c r="C674" s="53" t="str">
        <f ca="1">HYPERLINK("#" &amp; CELL("address", 'V1.91+V1.91-F'!$A$2), "V1.91")</f>
        <v>V1.91</v>
      </c>
      <c r="D674" s="53" t="str">
        <f ca="1">HYPERLINK("#" &amp; CELL("address", 'V1.91+V1.91-F'!$E$3), "Initiation channel")</f>
        <v>Initiation channel</v>
      </c>
      <c r="E674" s="53" t="str">
        <f ca="1">HYPERLINK("#" &amp; CELL("address", 'V1.91+V1.91-F'!$E$7), "Other")</f>
        <v>Other</v>
      </c>
      <c r="F674" s="49" t="str">
        <f>'V1.91+V1.91-F'!$F$7</f>
        <v>OTHR</v>
      </c>
      <c r="G674" s="53"/>
    </row>
    <row r="675" spans="1:7" x14ac:dyDescent="0.2">
      <c r="A675">
        <v>674</v>
      </c>
      <c r="B675" t="s">
        <v>1537</v>
      </c>
      <c r="C675" s="53" t="str">
        <f ca="1">HYPERLINK("#" &amp; CELL("address", 'V1.91+V1.91-F'!$A$2), "V1.91")</f>
        <v>V1.91</v>
      </c>
      <c r="D675" s="53" t="str">
        <f ca="1">HYPERLINK("#" &amp; CELL("address", 'V1.91+V1.91-F'!$G$3), "Initiation sub-channel")</f>
        <v>Initiation sub-channel</v>
      </c>
      <c r="E675" s="53" t="str">
        <f ca="1">HYPERLINK("#" &amp; CELL("address", 'V1.91+V1.91-F'!$G$4), "Remote")</f>
        <v>Remote</v>
      </c>
      <c r="F675" s="49" t="str">
        <f>'V1.91+V1.91-F'!$H$4</f>
        <v>REM1</v>
      </c>
      <c r="G675" s="53" t="str">
        <f ca="1">HYPERLINK("#" &amp; CELL("address", Concepts!$A$43), "Click here for definition")</f>
        <v>Click here for definition</v>
      </c>
    </row>
    <row r="676" spans="1:7" x14ac:dyDescent="0.2">
      <c r="A676">
        <v>675</v>
      </c>
      <c r="B676" t="s">
        <v>1537</v>
      </c>
      <c r="C676" s="53" t="str">
        <f ca="1">HYPERLINK("#" &amp; CELL("address", 'V1.91+V1.91-F'!$A$2), "V1.91")</f>
        <v>V1.91</v>
      </c>
      <c r="D676" s="53" t="str">
        <f ca="1">HYPERLINK("#" &amp; CELL("address", 'V1.91+V1.91-F'!$G$3), "Initiation sub-channel")</f>
        <v>Initiation sub-channel</v>
      </c>
      <c r="E676" s="53" t="str">
        <f ca="1">HYPERLINK("#" &amp; CELL("address", 'V1.91+V1.91-F'!$G$5), "Non-remote")</f>
        <v>Non-remote</v>
      </c>
      <c r="F676" s="49" t="str">
        <f>'V1.91+V1.91-F'!$H$5</f>
        <v>REM0</v>
      </c>
      <c r="G676" s="53" t="str">
        <f ca="1">HYPERLINK("#" &amp; CELL("address", Concepts!$A$44), "Click here for definition")</f>
        <v>Click here for definition</v>
      </c>
    </row>
    <row r="677" spans="1:7" x14ac:dyDescent="0.2">
      <c r="A677">
        <v>676</v>
      </c>
      <c r="B677" t="s">
        <v>1537</v>
      </c>
      <c r="C677" s="53" t="str">
        <f ca="1">HYPERLINK("#" &amp; CELL("address", 'V1.91+V1.91-F'!$A$2), "V1.91")</f>
        <v>V1.91</v>
      </c>
      <c r="D677" s="53" t="str">
        <f ca="1">HYPERLINK("#" &amp; CELL("address", 'V1.91+V1.91-F'!$I$3), "SCA")</f>
        <v>SCA</v>
      </c>
      <c r="E677" s="53" t="str">
        <f ca="1">HYPERLINK("#" &amp; CELL("address", 'V1.91+V1.91-F'!$I$4), "SCA used")</f>
        <v>SCA used</v>
      </c>
      <c r="F677" s="49" t="str">
        <f>'V1.91+V1.91-F'!$J$4</f>
        <v>SCA1</v>
      </c>
      <c r="G677" s="53" t="str">
        <f ca="1">HYPERLINK("#" &amp; CELL("address", Concepts!$A$47), "Click here for definition")</f>
        <v>Click here for definition</v>
      </c>
    </row>
    <row r="678" spans="1:7" x14ac:dyDescent="0.2">
      <c r="A678">
        <v>677</v>
      </c>
      <c r="B678" t="s">
        <v>1537</v>
      </c>
      <c r="C678" s="53" t="str">
        <f ca="1">HYPERLINK("#" &amp; CELL("address", 'V1.91+V1.91-F'!$A$2), "V1.91")</f>
        <v>V1.91</v>
      </c>
      <c r="D678" s="53" t="str">
        <f ca="1">HYPERLINK("#" &amp; CELL("address", 'V1.91+V1.91-F'!$I$3), "SCA")</f>
        <v>SCA</v>
      </c>
      <c r="E678" s="53" t="str">
        <f ca="1">HYPERLINK("#" &amp; CELL("address", 'V1.91+V1.91-F'!$I$7), "Trusted beneficiaries")</f>
        <v>Trusted beneficiaries</v>
      </c>
      <c r="F678" s="49" t="str">
        <f>'V1.91+V1.91-F'!$J$7</f>
        <v>TRBN</v>
      </c>
      <c r="G678" s="53" t="str">
        <f ca="1">HYPERLINK("#" &amp; CELL("address", Concepts!$A$50), "Click here for definition")</f>
        <v>Click here for definition</v>
      </c>
    </row>
    <row r="679" spans="1:7" x14ac:dyDescent="0.2">
      <c r="A679">
        <v>678</v>
      </c>
      <c r="B679" t="s">
        <v>1537</v>
      </c>
      <c r="C679" s="53" t="str">
        <f ca="1">HYPERLINK("#" &amp; CELL("address", 'V1.91+V1.91-F'!$A$2), "V1.91")</f>
        <v>V1.91</v>
      </c>
      <c r="D679" s="53" t="str">
        <f ca="1">HYPERLINK("#" &amp; CELL("address", 'V1.91+V1.91-F'!$I$3), "SCA")</f>
        <v>SCA</v>
      </c>
      <c r="E679" s="53" t="str">
        <f ca="1">HYPERLINK("#" &amp; CELL("address", 'V1.91+V1.91-F'!$I$8), "Recurring transaction")</f>
        <v>Recurring transaction</v>
      </c>
      <c r="F679" s="49" t="str">
        <f>'V1.91+V1.91-F'!$J$8</f>
        <v>RETR</v>
      </c>
      <c r="G679" s="53" t="str">
        <f ca="1">HYPERLINK("#" &amp; CELL("address", Concepts!$A$51), "Click here for definition")</f>
        <v>Click here for definition</v>
      </c>
    </row>
    <row r="680" spans="1:7" x14ac:dyDescent="0.2">
      <c r="A680">
        <v>679</v>
      </c>
      <c r="B680" t="s">
        <v>1537</v>
      </c>
      <c r="C680" s="53" t="str">
        <f ca="1">HYPERLINK("#" &amp; CELL("address", 'V1.91+V1.91-F'!$A$2), "V1.91")</f>
        <v>V1.91</v>
      </c>
      <c r="D680" s="53" t="str">
        <f ca="1">HYPERLINK("#" &amp; CELL("address", 'V1.91+V1.91-F'!$I$3), "SCA")</f>
        <v>SCA</v>
      </c>
      <c r="E680" s="53" t="str">
        <f ca="1">HYPERLINK("#" &amp; CELL("address", 'V1.91+V1.91-F'!$I$9), "Other")</f>
        <v>Other</v>
      </c>
      <c r="F680" s="49" t="str">
        <f>'V1.91+V1.91-F'!$J$9</f>
        <v>OTHR</v>
      </c>
      <c r="G680" s="53" t="str">
        <f ca="1">HYPERLINK("#" &amp; CELL("address", Concepts!$A$58), "Click here for definition")</f>
        <v>Click here for definition</v>
      </c>
    </row>
    <row r="681" spans="1:7" x14ac:dyDescent="0.2">
      <c r="A681">
        <v>680</v>
      </c>
      <c r="B681" t="s">
        <v>1537</v>
      </c>
      <c r="C681" s="53" t="str">
        <f ca="1">HYPERLINK("#" &amp; CELL("address", 'V1.91+V1.91-F'!$A$2), "V1.91")</f>
        <v>V1.91</v>
      </c>
      <c r="D681" s="53" t="str">
        <f ca="1">HYPERLINK("#" &amp; CELL("address", 'V1.91+V1.91-F'!$I$3), "SCA")</f>
        <v>SCA</v>
      </c>
      <c r="E681" s="53" t="str">
        <f ca="1">HYPERLINK("#" &amp; CELL("address", 'V1.91+V1.91-F'!$I$11), "Contactless low value")</f>
        <v>Contactless low value</v>
      </c>
      <c r="F681" s="49" t="str">
        <f>'V1.91+V1.91-F'!$J$11</f>
        <v>CLOW</v>
      </c>
      <c r="G681" s="53" t="str">
        <f ca="1">HYPERLINK("#" &amp; CELL("address", Concepts!$A$52), "Click here for definition")</f>
        <v>Click here for definition</v>
      </c>
    </row>
    <row r="682" spans="1:7" x14ac:dyDescent="0.2">
      <c r="A682">
        <v>681</v>
      </c>
      <c r="B682" t="s">
        <v>1537</v>
      </c>
      <c r="C682" s="53" t="str">
        <f ca="1">HYPERLINK("#" &amp; CELL("address", 'V1.91+V1.91-F'!$A$2), "V1.91")</f>
        <v>V1.91</v>
      </c>
      <c r="D682" s="53" t="str">
        <f ca="1">HYPERLINK("#" &amp; CELL("address", 'V1.91+V1.91-F'!$I$3), "SCA")</f>
        <v>SCA</v>
      </c>
      <c r="E682" s="53" t="str">
        <f ca="1">HYPERLINK("#" &amp; CELL("address", 'V1.91+V1.91-F'!$I$12), "Unattended terminal for transport fares or parking fees")</f>
        <v>Unattended terminal for transport fares or parking fees</v>
      </c>
      <c r="F682" s="49" t="str">
        <f>'V1.91+V1.91-F'!$J$12</f>
        <v>UNTE</v>
      </c>
      <c r="G682" s="53" t="str">
        <f ca="1">HYPERLINK("#" &amp; CELL("address", Concepts!$A$53), "Click here for definition")</f>
        <v>Click here for definition</v>
      </c>
    </row>
    <row r="683" spans="1:7" x14ac:dyDescent="0.2">
      <c r="A683">
        <v>682</v>
      </c>
      <c r="B683" t="s">
        <v>1537</v>
      </c>
      <c r="C683" s="53" t="str">
        <f ca="1">HYPERLINK("#" &amp; CELL("address", 'V1.91+V1.91-F'!$A$2), "V1.91")</f>
        <v>V1.91</v>
      </c>
      <c r="D683" s="53" t="str">
        <f ca="1">HYPERLINK("#" &amp; CELL("address", 'V1.91+V1.91-F'!$I$3), "SCA")</f>
        <v>SCA</v>
      </c>
      <c r="E683" s="53" t="str">
        <f ca="1">HYPERLINK("#" &amp; CELL("address", 'V1.91+V1.91-F'!$I$14), "Low value")</f>
        <v>Low value</v>
      </c>
      <c r="F683" s="49" t="str">
        <f>'V1.91+V1.91-F'!$J$14</f>
        <v>RLOW</v>
      </c>
      <c r="G683" s="53" t="str">
        <f ca="1">HYPERLINK("#" &amp; CELL("address", Concepts!$A$54), "Click here for definition")</f>
        <v>Click here for definition</v>
      </c>
    </row>
    <row r="684" spans="1:7" x14ac:dyDescent="0.2">
      <c r="A684">
        <v>683</v>
      </c>
      <c r="B684" t="s">
        <v>1537</v>
      </c>
      <c r="C684" s="53" t="str">
        <f ca="1">HYPERLINK("#" &amp; CELL("address", 'V1.91+V1.91-F'!$A$2), "V1.91")</f>
        <v>V1.91</v>
      </c>
      <c r="D684" s="53" t="str">
        <f ca="1">HYPERLINK("#" &amp; CELL("address", 'V1.91+V1.91-F'!$I$3), "SCA")</f>
        <v>SCA</v>
      </c>
      <c r="E684" s="53" t="str">
        <f ca="1">HYPERLINK("#" &amp; CELL("address", 'V1.91+V1.91-F'!$I$15), "Payment to self")</f>
        <v>Payment to self</v>
      </c>
      <c r="F684" s="49" t="str">
        <f>'V1.91+V1.91-F'!$J$15</f>
        <v>PSLF</v>
      </c>
      <c r="G684" s="53" t="str">
        <f ca="1">HYPERLINK("#" &amp; CELL("address", Concepts!$A$49), "Click here for definition")</f>
        <v>Click here for definition</v>
      </c>
    </row>
    <row r="685" spans="1:7" x14ac:dyDescent="0.2">
      <c r="A685">
        <v>684</v>
      </c>
      <c r="B685" t="s">
        <v>1537</v>
      </c>
      <c r="C685" s="53" t="str">
        <f ca="1">HYPERLINK("#" &amp; CELL("address", 'V1.91+V1.91-F'!$A$2), "V1.91")</f>
        <v>V1.91</v>
      </c>
      <c r="D685" s="53" t="str">
        <f ca="1">HYPERLINK("#" &amp; CELL("address", 'V1.91+V1.91-F'!$I$3), "SCA")</f>
        <v>SCA</v>
      </c>
      <c r="E685" s="53" t="str">
        <f ca="1">HYPERLINK("#" &amp; CELL("address", 'V1.91+V1.91-F'!$I$16), "Secure corporate payment processes and protocols")</f>
        <v>Secure corporate payment processes and protocols</v>
      </c>
      <c r="F685" s="49" t="str">
        <f>'V1.91+V1.91-F'!$J$16</f>
        <v>SECO</v>
      </c>
      <c r="G685" s="53" t="str">
        <f ca="1">HYPERLINK("#" &amp; CELL("address", Concepts!$A$55), "Click here for definition")</f>
        <v>Click here for definition</v>
      </c>
    </row>
    <row r="686" spans="1:7" x14ac:dyDescent="0.2">
      <c r="A686">
        <v>685</v>
      </c>
      <c r="B686" t="s">
        <v>1537</v>
      </c>
      <c r="C686" s="53" t="str">
        <f ca="1">HYPERLINK("#" &amp; CELL("address", 'V1.91+V1.91-F'!$A$2), "V1.91")</f>
        <v>V1.91</v>
      </c>
      <c r="D686" s="53" t="str">
        <f ca="1">HYPERLINK("#" &amp; CELL("address", 'V1.91+V1.91-F'!$I$3), "SCA")</f>
        <v>SCA</v>
      </c>
      <c r="E686" s="53" t="str">
        <f ca="1">HYPERLINK("#" &amp; CELL("address", 'V1.91+V1.91-F'!$I$17), "Transaction risk analysis")</f>
        <v>Transaction risk analysis</v>
      </c>
      <c r="F686" s="49" t="str">
        <f>'V1.91+V1.91-F'!$J$17</f>
        <v>RTRA</v>
      </c>
      <c r="G686" s="53" t="str">
        <f ca="1">HYPERLINK("#" &amp; CELL("address", Concepts!$A$56), "Click here for definition")</f>
        <v>Click here for definition</v>
      </c>
    </row>
    <row r="687" spans="1:7" x14ac:dyDescent="0.2">
      <c r="A687">
        <v>686</v>
      </c>
      <c r="B687" t="s">
        <v>1537</v>
      </c>
      <c r="C687" s="53" t="str">
        <f ca="1">HYPERLINK("#" &amp; CELL("address", 'V1.91+V1.91-F'!$A$2), "V1.91")</f>
        <v>V1.91</v>
      </c>
      <c r="D687" s="53" t="str">
        <f ca="1">HYPERLINK("#" &amp; CELL("address", 'V1.91+V1.91-F'!$I$3), "SCA")</f>
        <v>SCA</v>
      </c>
      <c r="E687" s="53" t="str">
        <f ca="1">HYPERLINK("#" &amp; CELL("address", 'V1.91+V1.91-F'!$I$18), "Merchant initiated transaction (MIT)")</f>
        <v>Merchant initiated transaction (MIT)</v>
      </c>
      <c r="F687" s="49" t="str">
        <f>'V1.91+V1.91-F'!$J$18</f>
        <v>MITR</v>
      </c>
      <c r="G687" s="53" t="str">
        <f ca="1">HYPERLINK("#" &amp; CELL("address", Concepts!$A$122), "Click here for definition")</f>
        <v>Click here for definition</v>
      </c>
    </row>
    <row r="688" spans="1:7" x14ac:dyDescent="0.2">
      <c r="A688">
        <v>687</v>
      </c>
      <c r="B688" t="s">
        <v>1537</v>
      </c>
      <c r="C688" s="53" t="str">
        <f ca="1">HYPERLINK("#" &amp; CELL("address", 'V1.91+V1.91-F'!$A$2), "V1.91")</f>
        <v>V1.91</v>
      </c>
      <c r="D688" s="53" t="str">
        <f ca="1">HYPERLINK("#" &amp; CELL("address", 'V1.91+V1.91-F'!$K$3), "Fraud type")</f>
        <v>Fraud type</v>
      </c>
      <c r="E688" s="53" t="str">
        <f ca="1">HYPERLINK("#" &amp; CELL("address", 'V1.91+V1.91-F'!$K$4), "Not applicable")</f>
        <v>Not applicable</v>
      </c>
      <c r="F688" s="49" t="str">
        <f>'V1.91+V1.91-F'!$L$4</f>
        <v>NOAP</v>
      </c>
      <c r="G688" s="53" t="str">
        <f ca="1">HYPERLINK("#" &amp; CELL("address", Concepts!$A$59), "Click here for definition")</f>
        <v>Click here for definition</v>
      </c>
    </row>
    <row r="689" spans="1:7" x14ac:dyDescent="0.2">
      <c r="A689">
        <v>688</v>
      </c>
      <c r="B689" t="s">
        <v>1537</v>
      </c>
      <c r="C689" s="53" t="str">
        <f ca="1">HYPERLINK("#" &amp; CELL("address", 'V1.91+V1.91-F'!$A$2), "V1.91")</f>
        <v>V1.91</v>
      </c>
      <c r="D689" s="53" t="str">
        <f ca="1">HYPERLINK("#" &amp; CELL("address", 'V1.91+V1.91-F'!$M$3), "Country of debtor EMS")</f>
        <v>Country of debtor EMS</v>
      </c>
      <c r="E689" s="53" t="str">
        <f ca="1">HYPERLINK("#" &amp; CELL("address", 'V1.91+V1.91-F'!$M$4), "2-letter ISO 3166 country code")</f>
        <v>2-letter ISO 3166 country code</v>
      </c>
      <c r="F689" s="49" t="str">
        <f>'V1.91+V1.91-F'!$N$4</f>
        <v>[Geo]</v>
      </c>
      <c r="G689" s="53" t="str">
        <f ca="1">HYPERLINK("#" &amp; CELL("address", Concepts!$A$145), "Click here for definition")</f>
        <v>Click here for definition</v>
      </c>
    </row>
    <row r="690" spans="1:7" x14ac:dyDescent="0.2">
      <c r="A690">
        <v>689</v>
      </c>
      <c r="B690" t="s">
        <v>1537</v>
      </c>
      <c r="C690" s="53" t="str">
        <f ca="1">HYPERLINK("#" &amp; CELL("address", 'V1.91+V1.91-F'!$A$2), "V1.91")</f>
        <v>V1.91</v>
      </c>
      <c r="D690" s="53" t="str">
        <f ca="1">HYPERLINK("#" &amp; CELL("address", 'V1.91+V1.91-F'!$O$3), "Country of creditor EMS")</f>
        <v>Country of creditor EMS</v>
      </c>
      <c r="E690" s="53" t="str">
        <f ca="1">HYPERLINK("#" &amp; CELL("address", 'V1.91+V1.91-F'!$O$4), "2-letter ISO 3166 country code")</f>
        <v>2-letter ISO 3166 country code</v>
      </c>
      <c r="F690" s="49" t="str">
        <f>'V1.91+V1.91-F'!$P$4</f>
        <v>[Geo]</v>
      </c>
      <c r="G690" s="53" t="str">
        <f ca="1">HYPERLINK("#" &amp; CELL("address", Concepts!$A$145), "Click here for definition")</f>
        <v>Click here for definition</v>
      </c>
    </row>
    <row r="691" spans="1:7" x14ac:dyDescent="0.2">
      <c r="A691">
        <v>690</v>
      </c>
      <c r="B691" t="s">
        <v>1537</v>
      </c>
      <c r="C691" s="53" t="str">
        <f ca="1">HYPERLINK("#" &amp; CELL("address", 'V1.91+V1.91-F'!$A$2), "V1.91")</f>
        <v>V1.91</v>
      </c>
      <c r="D691" s="53" t="str">
        <f ca="1">HYPERLINK("#" &amp; CELL("address", 'V1.91+V1.91-F'!$Q$3), "Country of debtor residence")</f>
        <v>Country of debtor residence</v>
      </c>
      <c r="E691" s="53" t="str">
        <f ca="1">HYPERLINK("#" &amp; CELL("address", 'V1.91+V1.91-F'!$Q$4), "2-letter ISO 3166 country code")</f>
        <v>2-letter ISO 3166 country code</v>
      </c>
      <c r="F691" s="49" t="str">
        <f>'V1.91+V1.91-F'!$R$4</f>
        <v>[Geo]</v>
      </c>
      <c r="G691" s="53" t="str">
        <f ca="1">HYPERLINK("#" &amp; CELL("address", Concepts!$A$145), "Click here for definition")</f>
        <v>Click here for definition</v>
      </c>
    </row>
    <row r="692" spans="1:7" x14ac:dyDescent="0.2">
      <c r="A692">
        <v>691</v>
      </c>
      <c r="B692" t="s">
        <v>1537</v>
      </c>
      <c r="C692" s="53" t="str">
        <f ca="1">HYPERLINK("#" &amp; CELL("address", 'V1.91+V1.91-F'!$A$2), "V1.91")</f>
        <v>V1.91</v>
      </c>
      <c r="D692" s="53" t="str">
        <f ca="1">HYPERLINK("#" &amp; CELL("address", 'V1.91+V1.91-F'!$S$3), "Country of creditor residence")</f>
        <v>Country of creditor residence</v>
      </c>
      <c r="E692" s="53" t="str">
        <f ca="1">HYPERLINK("#" &amp; CELL("address", 'V1.91+V1.91-F'!$S$4), "2-letter ISO 3166 country code")</f>
        <v>2-letter ISO 3166 country code</v>
      </c>
      <c r="F692" s="49" t="str">
        <f>'V1.91+V1.91-F'!$T$4</f>
        <v>[Geo]</v>
      </c>
      <c r="G692" s="53" t="str">
        <f ca="1">HYPERLINK("#" &amp; CELL("address", Concepts!$A$145), "Click here for definition")</f>
        <v>Click here for definition</v>
      </c>
    </row>
    <row r="693" spans="1:7" x14ac:dyDescent="0.2">
      <c r="A693">
        <v>692</v>
      </c>
      <c r="B693" t="s">
        <v>1537</v>
      </c>
      <c r="C693" s="53" t="str">
        <f ca="1">HYPERLINK("#" &amp; CELL("address", 'V1.91+V1.91-F'!$A$2), "V1.91")</f>
        <v>V1.91</v>
      </c>
      <c r="D693" s="53" t="str">
        <f ca="1">HYPERLINK("#" &amp; CELL("address", 'V1.91+V1.91-F'!$U$3), "Currency")</f>
        <v>Currency</v>
      </c>
      <c r="E693" s="53" t="str">
        <f ca="1">HYPERLINK("#" &amp; CELL("address", 'V1.91+V1.91-F'!$U$4), "3-letter ISO 4217 currency code")</f>
        <v>3-letter ISO 4217 currency code</v>
      </c>
      <c r="F693" s="49" t="str">
        <f>'V1.91+V1.91-F'!$V$4</f>
        <v>[Currency]</v>
      </c>
      <c r="G693" s="53" t="str">
        <f ca="1">HYPERLINK("#" &amp; CELL("address", Concepts!$A$146), "Click here for definition")</f>
        <v>Click here for definition</v>
      </c>
    </row>
    <row r="694" spans="1:7" x14ac:dyDescent="0.2">
      <c r="A694">
        <v>693</v>
      </c>
      <c r="B694" t="s">
        <v>1537</v>
      </c>
      <c r="C694" s="53" t="str">
        <f ca="1">HYPERLINK("#" &amp; CELL("address", 'V1.91+V1.91-F'!$A$2), "V1.91")</f>
        <v>V1.91</v>
      </c>
      <c r="D694" s="53" t="str">
        <f ca="1">HYPERLINK("#" &amp; CELL("address", 'V1.91+V1.91-F'!$W$3), "Metric")</f>
        <v>Metric</v>
      </c>
      <c r="E694" s="53" t="str">
        <f ca="1">HYPERLINK("#" &amp; CELL("address", 'V1.91+V1.91-F'!$W$4), "Number of transactions")</f>
        <v>Number of transactions</v>
      </c>
      <c r="F694" s="49" t="str">
        <f>'V1.91+V1.91-F'!$X$4</f>
        <v>VOLU</v>
      </c>
      <c r="G694" s="53" t="str">
        <f ca="1">HYPERLINK("#" &amp; CELL("address", Concepts!$A$147), "Click here for definition")</f>
        <v>Click here for definition</v>
      </c>
    </row>
    <row r="695" spans="1:7" x14ac:dyDescent="0.2">
      <c r="A695">
        <v>694</v>
      </c>
      <c r="B695" t="s">
        <v>1537</v>
      </c>
      <c r="C695" s="53" t="str">
        <f ca="1">HYPERLINK("#" &amp; CELL("address", 'V1.91+V1.91-F'!$A$2), "V1.91")</f>
        <v>V1.91</v>
      </c>
      <c r="D695" s="53" t="str">
        <f ca="1">HYPERLINK("#" &amp; CELL("address", 'V1.91+V1.91-F'!$W$3), "Metric")</f>
        <v>Metric</v>
      </c>
      <c r="E695" s="53" t="str">
        <f ca="1">HYPERLINK("#" &amp; CELL("address", 'V1.91+V1.91-F'!$W$5), "Value of transactions")</f>
        <v>Value of transactions</v>
      </c>
      <c r="F695" s="49" t="str">
        <f>'V1.91+V1.91-F'!$X$5</f>
        <v>VALE</v>
      </c>
      <c r="G695" s="53" t="str">
        <f ca="1">HYPERLINK("#" &amp; CELL("address", Concepts!$A$148), "Click here for definition")</f>
        <v>Click here for definition</v>
      </c>
    </row>
    <row r="696" spans="1:7" x14ac:dyDescent="0.2">
      <c r="A696">
        <v>695</v>
      </c>
      <c r="B696" t="s">
        <v>1537</v>
      </c>
      <c r="C696" s="53" t="str">
        <f ca="1">HYPERLINK("#" &amp; CELL("address", 'V1.91+V1.91-F'!$A$23), "V1.91-F")</f>
        <v>V1.91-F</v>
      </c>
      <c r="D696" s="53" t="str">
        <f ca="1">HYPERLINK("#" &amp; CELL("address", 'V1.91+V1.91-F'!$A$3), "Medium type")</f>
        <v>Medium type</v>
      </c>
      <c r="E696" s="53" t="str">
        <f ca="1">HYPERLINK("#" &amp; CELL("address", 'V1.91+V1.91-F'!$A$4), "Software")</f>
        <v>Software</v>
      </c>
      <c r="F696" s="49" t="str">
        <f>'V1.91+V1.91-F'!$B$4</f>
        <v>SFTW</v>
      </c>
      <c r="G696" s="53" t="str">
        <f ca="1">HYPERLINK("#" &amp; CELL("address", Concepts!$A$165), "Click here for definition")</f>
        <v>Click here for definition</v>
      </c>
    </row>
    <row r="697" spans="1:7" x14ac:dyDescent="0.2">
      <c r="A697">
        <v>696</v>
      </c>
      <c r="B697" t="s">
        <v>1537</v>
      </c>
      <c r="C697" s="53" t="str">
        <f ca="1">HYPERLINK("#" &amp; CELL("address", 'V1.91+V1.91-F'!$A$23), "V1.91-F")</f>
        <v>V1.91-F</v>
      </c>
      <c r="D697" s="53" t="str">
        <f ca="1">HYPERLINK("#" &amp; CELL("address", 'V1.91+V1.91-F'!$A$3), "Medium type")</f>
        <v>Medium type</v>
      </c>
      <c r="E697" s="53" t="str">
        <f ca="1">HYPERLINK("#" &amp; CELL("address", 'V1.91+V1.91-F'!$A$5), "E-money card")</f>
        <v>E-money card</v>
      </c>
      <c r="F697" s="49" t="str">
        <f>'V1.91+V1.91-F'!$B$5</f>
        <v>EMCA</v>
      </c>
      <c r="G697" s="53" t="str">
        <f ca="1">HYPERLINK("#" &amp; CELL("address", Concepts!$A$166), "Click here for definition")</f>
        <v>Click here for definition</v>
      </c>
    </row>
    <row r="698" spans="1:7" x14ac:dyDescent="0.2">
      <c r="A698">
        <v>697</v>
      </c>
      <c r="B698" t="s">
        <v>1537</v>
      </c>
      <c r="C698" s="53" t="str">
        <f ca="1">HYPERLINK("#" &amp; CELL("address", 'V1.91+V1.91-F'!$A$23), "V1.91-F")</f>
        <v>V1.91-F</v>
      </c>
      <c r="D698" s="53" t="str">
        <f ca="1">HYPERLINK("#" &amp; CELL("address", 'V1.91+V1.91-F'!$C$3), "Transfer type")</f>
        <v>Transfer type</v>
      </c>
      <c r="E698" s="53" t="str">
        <f ca="1">HYPERLINK("#" &amp; CELL("address", 'V1.91+V1.91-F'!$C$4), "Purchase")</f>
        <v>Purchase</v>
      </c>
      <c r="F698" s="49" t="str">
        <f>'V1.91+V1.91-F'!$D$4</f>
        <v>PURC</v>
      </c>
      <c r="G698" s="53" t="str">
        <f ca="1">HYPERLINK("#" &amp; CELL("address", Concepts!$A$171), "Click here for definition")</f>
        <v>Click here for definition</v>
      </c>
    </row>
    <row r="699" spans="1:7" x14ac:dyDescent="0.2">
      <c r="A699">
        <v>698</v>
      </c>
      <c r="B699" t="s">
        <v>1537</v>
      </c>
      <c r="C699" s="53" t="str">
        <f ca="1">HYPERLINK("#" &amp; CELL("address", 'V1.91+V1.91-F'!$A$23), "V1.91-F")</f>
        <v>V1.91-F</v>
      </c>
      <c r="D699" s="53" t="str">
        <f ca="1">HYPERLINK("#" &amp; CELL("address", 'V1.91+V1.91-F'!$C$3), "Transfer type")</f>
        <v>Transfer type</v>
      </c>
      <c r="E699" s="53" t="str">
        <f ca="1">HYPERLINK("#" &amp; CELL("address", 'V1.91+V1.91-F'!$C$5), "Peer-to-peer (P2P)")</f>
        <v>Peer-to-peer (P2P)</v>
      </c>
      <c r="F699" s="49" t="str">
        <f>'V1.91+V1.91-F'!$D$5</f>
        <v>PEER</v>
      </c>
      <c r="G699" s="53" t="str">
        <f ca="1">HYPERLINK("#" &amp; CELL("address", Concepts!$A$172), "Click here for definition")</f>
        <v>Click here for definition</v>
      </c>
    </row>
    <row r="700" spans="1:7" x14ac:dyDescent="0.2">
      <c r="A700">
        <v>699</v>
      </c>
      <c r="B700" t="s">
        <v>1537</v>
      </c>
      <c r="C700" s="53" t="str">
        <f ca="1">HYPERLINK("#" &amp; CELL("address", 'V1.91+V1.91-F'!$A$23), "V1.91-F")</f>
        <v>V1.91-F</v>
      </c>
      <c r="D700" s="53" t="str">
        <f ca="1">HYPERLINK("#" &amp; CELL("address", 'V1.91+V1.91-F'!$C$3), "Transfer type")</f>
        <v>Transfer type</v>
      </c>
      <c r="E700" s="53" t="str">
        <f ca="1">HYPERLINK("#" &amp; CELL("address", 'V1.91+V1.91-F'!$C$6), "Unknown")</f>
        <v>Unknown</v>
      </c>
      <c r="F700" s="49" t="str">
        <f>'V1.91+V1.91-F'!$D$6</f>
        <v>UNKN</v>
      </c>
      <c r="G700" s="53" t="str">
        <f ca="1">HYPERLINK("#" &amp; CELL("address", Concepts!$A$173), "Click here for definition")</f>
        <v>Click here for definition</v>
      </c>
    </row>
    <row r="701" spans="1:7" x14ac:dyDescent="0.2">
      <c r="A701">
        <v>700</v>
      </c>
      <c r="B701" t="s">
        <v>1537</v>
      </c>
      <c r="C701" s="53" t="str">
        <f ca="1">HYPERLINK("#" &amp; CELL("address", 'V1.91+V1.91-F'!$A$23), "V1.91-F")</f>
        <v>V1.91-F</v>
      </c>
      <c r="D701" s="53" t="str">
        <f ca="1">HYPERLINK("#" &amp; CELL("address", 'V1.91+V1.91-F'!$E$3), "Initiation channel")</f>
        <v>Initiation channel</v>
      </c>
      <c r="E701" s="53" t="str">
        <f ca="1">HYPERLINK("#" &amp; CELL("address", 'V1.91+V1.91-F'!$E$5), "P2P MPS")</f>
        <v>P2P MPS</v>
      </c>
      <c r="F701" s="49" t="str">
        <f>'V1.91+V1.91-F'!$F$5</f>
        <v>P2PM</v>
      </c>
      <c r="G701" s="53" t="str">
        <f ca="1">HYPERLINK("#" &amp; CELL("address", Concepts!$A$40), "Click here for definition")</f>
        <v>Click here for definition</v>
      </c>
    </row>
    <row r="702" spans="1:7" x14ac:dyDescent="0.2">
      <c r="A702">
        <v>701</v>
      </c>
      <c r="B702" t="s">
        <v>1537</v>
      </c>
      <c r="C702" s="53" t="str">
        <f ca="1">HYPERLINK("#" &amp; CELL("address", 'V1.91+V1.91-F'!$A$23), "V1.91-F")</f>
        <v>V1.91-F</v>
      </c>
      <c r="D702" s="53" t="str">
        <f ca="1">HYPERLINK("#" &amp; CELL("address", 'V1.91+V1.91-F'!$E$3), "Initiation channel")</f>
        <v>Initiation channel</v>
      </c>
      <c r="E702" s="53" t="str">
        <f ca="1">HYPERLINK("#" &amp; CELL("address", 'V1.91+V1.91-F'!$E$6), "Other MPS")</f>
        <v>Other MPS</v>
      </c>
      <c r="F702" s="49" t="str">
        <f>'V1.91+V1.91-F'!$F$6</f>
        <v>OMPS</v>
      </c>
      <c r="G702" s="53" t="str">
        <f ca="1">HYPERLINK("#" &amp; CELL("address", Concepts!$A$41), "Click here for definition")</f>
        <v>Click here for definition</v>
      </c>
    </row>
    <row r="703" spans="1:7" x14ac:dyDescent="0.2">
      <c r="A703">
        <v>702</v>
      </c>
      <c r="B703" t="s">
        <v>1537</v>
      </c>
      <c r="C703" s="53" t="str">
        <f ca="1">HYPERLINK("#" &amp; CELL("address", 'V1.91+V1.91-F'!$A$23), "V1.91-F")</f>
        <v>V1.91-F</v>
      </c>
      <c r="D703" s="53" t="str">
        <f ca="1">HYPERLINK("#" &amp; CELL("address", 'V1.91+V1.91-F'!$E$3), "Initiation channel")</f>
        <v>Initiation channel</v>
      </c>
      <c r="E703" s="53" t="str">
        <f ca="1">HYPERLINK("#" &amp; CELL("address", 'V1.91+V1.91-F'!$E$7), "Other")</f>
        <v>Other</v>
      </c>
      <c r="F703" s="49" t="str">
        <f>'V1.91+V1.91-F'!$F$7</f>
        <v>OTHR</v>
      </c>
      <c r="G703" s="53"/>
    </row>
    <row r="704" spans="1:7" x14ac:dyDescent="0.2">
      <c r="A704">
        <v>703</v>
      </c>
      <c r="B704" t="s">
        <v>1537</v>
      </c>
      <c r="C704" s="53" t="str">
        <f ca="1">HYPERLINK("#" &amp; CELL("address", 'V1.91+V1.91-F'!$A$23), "V1.91-F")</f>
        <v>V1.91-F</v>
      </c>
      <c r="D704" s="53" t="str">
        <f ca="1">HYPERLINK("#" &amp; CELL("address", 'V1.91+V1.91-F'!$G$3), "Initiation sub-channel")</f>
        <v>Initiation sub-channel</v>
      </c>
      <c r="E704" s="53" t="str">
        <f ca="1">HYPERLINK("#" &amp; CELL("address", 'V1.91+V1.91-F'!$G$4), "Remote")</f>
        <v>Remote</v>
      </c>
      <c r="F704" s="49" t="str">
        <f>'V1.91+V1.91-F'!$H$4</f>
        <v>REM1</v>
      </c>
      <c r="G704" s="53" t="str">
        <f ca="1">HYPERLINK("#" &amp; CELL("address", Concepts!$A$43), "Click here for definition")</f>
        <v>Click here for definition</v>
      </c>
    </row>
    <row r="705" spans="1:7" x14ac:dyDescent="0.2">
      <c r="A705">
        <v>704</v>
      </c>
      <c r="B705" t="s">
        <v>1537</v>
      </c>
      <c r="C705" s="53" t="str">
        <f ca="1">HYPERLINK("#" &amp; CELL("address", 'V1.91+V1.91-F'!$A$23), "V1.91-F")</f>
        <v>V1.91-F</v>
      </c>
      <c r="D705" s="53" t="str">
        <f ca="1">HYPERLINK("#" &amp; CELL("address", 'V1.91+V1.91-F'!$G$3), "Initiation sub-channel")</f>
        <v>Initiation sub-channel</v>
      </c>
      <c r="E705" s="53" t="str">
        <f ca="1">HYPERLINK("#" &amp; CELL("address", 'V1.91+V1.91-F'!$G$5), "Non-remote")</f>
        <v>Non-remote</v>
      </c>
      <c r="F705" s="49" t="str">
        <f>'V1.91+V1.91-F'!$H$5</f>
        <v>REM0</v>
      </c>
      <c r="G705" s="53" t="str">
        <f ca="1">HYPERLINK("#" &amp; CELL("address", Concepts!$A$44), "Click here for definition")</f>
        <v>Click here for definition</v>
      </c>
    </row>
    <row r="706" spans="1:7" x14ac:dyDescent="0.2">
      <c r="A706">
        <v>705</v>
      </c>
      <c r="B706" t="s">
        <v>1537</v>
      </c>
      <c r="C706" s="53" t="str">
        <f ca="1">HYPERLINK("#" &amp; CELL("address", 'V1.91+V1.91-F'!$A$23), "V1.91-F")</f>
        <v>V1.91-F</v>
      </c>
      <c r="D706" s="53" t="str">
        <f ca="1">HYPERLINK("#" &amp; CELL("address", 'V1.91+V1.91-F'!$I$3), "SCA")</f>
        <v>SCA</v>
      </c>
      <c r="E706" s="53" t="str">
        <f ca="1">HYPERLINK("#" &amp; CELL("address", 'V1.91+V1.91-F'!$I$4), "SCA used")</f>
        <v>SCA used</v>
      </c>
      <c r="F706" s="49" t="str">
        <f>'V1.91+V1.91-F'!$J$4</f>
        <v>SCA1</v>
      </c>
      <c r="G706" s="53" t="str">
        <f ca="1">HYPERLINK("#" &amp; CELL("address", Concepts!$A$47), "Click here for definition")</f>
        <v>Click here for definition</v>
      </c>
    </row>
    <row r="707" spans="1:7" x14ac:dyDescent="0.2">
      <c r="A707">
        <v>706</v>
      </c>
      <c r="B707" t="s">
        <v>1537</v>
      </c>
      <c r="C707" s="53" t="str">
        <f ca="1">HYPERLINK("#" &amp; CELL("address", 'V1.91+V1.91-F'!$A$23), "V1.91-F")</f>
        <v>V1.91-F</v>
      </c>
      <c r="D707" s="53" t="str">
        <f ca="1">HYPERLINK("#" &amp; CELL("address", 'V1.91+V1.91-F'!$I$3), "SCA")</f>
        <v>SCA</v>
      </c>
      <c r="E707" s="53" t="str">
        <f ca="1">HYPERLINK("#" &amp; CELL("address", 'V1.91+V1.91-F'!$I$7), "Trusted beneficiaries")</f>
        <v>Trusted beneficiaries</v>
      </c>
      <c r="F707" s="49" t="str">
        <f>'V1.91+V1.91-F'!$J$7</f>
        <v>TRBN</v>
      </c>
      <c r="G707" s="53" t="str">
        <f ca="1">HYPERLINK("#" &amp; CELL("address", Concepts!$A$50), "Click here for definition")</f>
        <v>Click here for definition</v>
      </c>
    </row>
    <row r="708" spans="1:7" x14ac:dyDescent="0.2">
      <c r="A708">
        <v>707</v>
      </c>
      <c r="B708" t="s">
        <v>1537</v>
      </c>
      <c r="C708" s="53" t="str">
        <f ca="1">HYPERLINK("#" &amp; CELL("address", 'V1.91+V1.91-F'!$A$23), "V1.91-F")</f>
        <v>V1.91-F</v>
      </c>
      <c r="D708" s="53" t="str">
        <f ca="1">HYPERLINK("#" &amp; CELL("address", 'V1.91+V1.91-F'!$I$3), "SCA")</f>
        <v>SCA</v>
      </c>
      <c r="E708" s="53" t="str">
        <f ca="1">HYPERLINK("#" &amp; CELL("address", 'V1.91+V1.91-F'!$I$8), "Recurring transaction")</f>
        <v>Recurring transaction</v>
      </c>
      <c r="F708" s="49" t="str">
        <f>'V1.91+V1.91-F'!$J$8</f>
        <v>RETR</v>
      </c>
      <c r="G708" s="53" t="str">
        <f ca="1">HYPERLINK("#" &amp; CELL("address", Concepts!$A$51), "Click here for definition")</f>
        <v>Click here for definition</v>
      </c>
    </row>
    <row r="709" spans="1:7" x14ac:dyDescent="0.2">
      <c r="A709">
        <v>708</v>
      </c>
      <c r="B709" t="s">
        <v>1537</v>
      </c>
      <c r="C709" s="53" t="str">
        <f ca="1">HYPERLINK("#" &amp; CELL("address", 'V1.91+V1.91-F'!$A$23), "V1.91-F")</f>
        <v>V1.91-F</v>
      </c>
      <c r="D709" s="53" t="str">
        <f ca="1">HYPERLINK("#" &amp; CELL("address", 'V1.91+V1.91-F'!$I$3), "SCA")</f>
        <v>SCA</v>
      </c>
      <c r="E709" s="53" t="str">
        <f ca="1">HYPERLINK("#" &amp; CELL("address", 'V1.91+V1.91-F'!$I$9), "Other")</f>
        <v>Other</v>
      </c>
      <c r="F709" s="49" t="str">
        <f>'V1.91+V1.91-F'!$J$9</f>
        <v>OTHR</v>
      </c>
      <c r="G709" s="53" t="str">
        <f ca="1">HYPERLINK("#" &amp; CELL("address", Concepts!$A$58), "Click here for definition")</f>
        <v>Click here for definition</v>
      </c>
    </row>
    <row r="710" spans="1:7" x14ac:dyDescent="0.2">
      <c r="A710">
        <v>709</v>
      </c>
      <c r="B710" t="s">
        <v>1537</v>
      </c>
      <c r="C710" s="53" t="str">
        <f ca="1">HYPERLINK("#" &amp; CELL("address", 'V1.91+V1.91-F'!$A$23), "V1.91-F")</f>
        <v>V1.91-F</v>
      </c>
      <c r="D710" s="53" t="str">
        <f ca="1">HYPERLINK("#" &amp; CELL("address", 'V1.91+V1.91-F'!$I$3), "SCA")</f>
        <v>SCA</v>
      </c>
      <c r="E710" s="53" t="str">
        <f ca="1">HYPERLINK("#" &amp; CELL("address", 'V1.91+V1.91-F'!$I$11), "Contactless low value")</f>
        <v>Contactless low value</v>
      </c>
      <c r="F710" s="49" t="str">
        <f>'V1.91+V1.91-F'!$J$11</f>
        <v>CLOW</v>
      </c>
      <c r="G710" s="53" t="str">
        <f ca="1">HYPERLINK("#" &amp; CELL("address", Concepts!$A$52), "Click here for definition")</f>
        <v>Click here for definition</v>
      </c>
    </row>
    <row r="711" spans="1:7" x14ac:dyDescent="0.2">
      <c r="A711">
        <v>710</v>
      </c>
      <c r="B711" t="s">
        <v>1537</v>
      </c>
      <c r="C711" s="53" t="str">
        <f ca="1">HYPERLINK("#" &amp; CELL("address", 'V1.91+V1.91-F'!$A$23), "V1.91-F")</f>
        <v>V1.91-F</v>
      </c>
      <c r="D711" s="53" t="str">
        <f ca="1">HYPERLINK("#" &amp; CELL("address", 'V1.91+V1.91-F'!$I$3), "SCA")</f>
        <v>SCA</v>
      </c>
      <c r="E711" s="53" t="str">
        <f ca="1">HYPERLINK("#" &amp; CELL("address", 'V1.91+V1.91-F'!$I$12), "Unattended terminal for transport fares or parking fees")</f>
        <v>Unattended terminal for transport fares or parking fees</v>
      </c>
      <c r="F711" s="49" t="str">
        <f>'V1.91+V1.91-F'!$J$12</f>
        <v>UNTE</v>
      </c>
      <c r="G711" s="53" t="str">
        <f ca="1">HYPERLINK("#" &amp; CELL("address", Concepts!$A$53), "Click here for definition")</f>
        <v>Click here for definition</v>
      </c>
    </row>
    <row r="712" spans="1:7" x14ac:dyDescent="0.2">
      <c r="A712">
        <v>711</v>
      </c>
      <c r="B712" t="s">
        <v>1537</v>
      </c>
      <c r="C712" s="53" t="str">
        <f ca="1">HYPERLINK("#" &amp; CELL("address", 'V1.91+V1.91-F'!$A$23), "V1.91-F")</f>
        <v>V1.91-F</v>
      </c>
      <c r="D712" s="53" t="str">
        <f ca="1">HYPERLINK("#" &amp; CELL("address", 'V1.91+V1.91-F'!$I$3), "SCA")</f>
        <v>SCA</v>
      </c>
      <c r="E712" s="53" t="str">
        <f ca="1">HYPERLINK("#" &amp; CELL("address", 'V1.91+V1.91-F'!$I$14), "Low value")</f>
        <v>Low value</v>
      </c>
      <c r="F712" s="49" t="str">
        <f>'V1.91+V1.91-F'!$J$14</f>
        <v>RLOW</v>
      </c>
      <c r="G712" s="53" t="str">
        <f ca="1">HYPERLINK("#" &amp; CELL("address", Concepts!$A$54), "Click here for definition")</f>
        <v>Click here for definition</v>
      </c>
    </row>
    <row r="713" spans="1:7" x14ac:dyDescent="0.2">
      <c r="A713">
        <v>712</v>
      </c>
      <c r="B713" t="s">
        <v>1537</v>
      </c>
      <c r="C713" s="53" t="str">
        <f ca="1">HYPERLINK("#" &amp; CELL("address", 'V1.91+V1.91-F'!$A$23), "V1.91-F")</f>
        <v>V1.91-F</v>
      </c>
      <c r="D713" s="53" t="str">
        <f ca="1">HYPERLINK("#" &amp; CELL("address", 'V1.91+V1.91-F'!$I$3), "SCA")</f>
        <v>SCA</v>
      </c>
      <c r="E713" s="53" t="str">
        <f ca="1">HYPERLINK("#" &amp; CELL("address", 'V1.91+V1.91-F'!$I$15), "Payment to self")</f>
        <v>Payment to self</v>
      </c>
      <c r="F713" s="49" t="str">
        <f>'V1.91+V1.91-F'!$J$15</f>
        <v>PSLF</v>
      </c>
      <c r="G713" s="53" t="str">
        <f ca="1">HYPERLINK("#" &amp; CELL("address", Concepts!$A$49), "Click here for definition")</f>
        <v>Click here for definition</v>
      </c>
    </row>
    <row r="714" spans="1:7" x14ac:dyDescent="0.2">
      <c r="A714">
        <v>713</v>
      </c>
      <c r="B714" t="s">
        <v>1537</v>
      </c>
      <c r="C714" s="53" t="str">
        <f ca="1">HYPERLINK("#" &amp; CELL("address", 'V1.91+V1.91-F'!$A$23), "V1.91-F")</f>
        <v>V1.91-F</v>
      </c>
      <c r="D714" s="53" t="str">
        <f ca="1">HYPERLINK("#" &amp; CELL("address", 'V1.91+V1.91-F'!$I$3), "SCA")</f>
        <v>SCA</v>
      </c>
      <c r="E714" s="53" t="str">
        <f ca="1">HYPERLINK("#" &amp; CELL("address", 'V1.91+V1.91-F'!$I$16), "Secure corporate payment processes and protocols")</f>
        <v>Secure corporate payment processes and protocols</v>
      </c>
      <c r="F714" s="49" t="str">
        <f>'V1.91+V1.91-F'!$J$16</f>
        <v>SECO</v>
      </c>
      <c r="G714" s="53" t="str">
        <f ca="1">HYPERLINK("#" &amp; CELL("address", Concepts!$A$55), "Click here for definition")</f>
        <v>Click here for definition</v>
      </c>
    </row>
    <row r="715" spans="1:7" x14ac:dyDescent="0.2">
      <c r="A715">
        <v>714</v>
      </c>
      <c r="B715" t="s">
        <v>1537</v>
      </c>
      <c r="C715" s="53" t="str">
        <f ca="1">HYPERLINK("#" &amp; CELL("address", 'V1.91+V1.91-F'!$A$23), "V1.91-F")</f>
        <v>V1.91-F</v>
      </c>
      <c r="D715" s="53" t="str">
        <f ca="1">HYPERLINK("#" &amp; CELL("address", 'V1.91+V1.91-F'!$I$3), "SCA")</f>
        <v>SCA</v>
      </c>
      <c r="E715" s="53" t="str">
        <f ca="1">HYPERLINK("#" &amp; CELL("address", 'V1.91+V1.91-F'!$I$17), "Transaction risk analysis")</f>
        <v>Transaction risk analysis</v>
      </c>
      <c r="F715" s="49" t="str">
        <f>'V1.91+V1.91-F'!$J$17</f>
        <v>RTRA</v>
      </c>
      <c r="G715" s="53" t="str">
        <f ca="1">HYPERLINK("#" &amp; CELL("address", Concepts!$A$56), "Click here for definition")</f>
        <v>Click here for definition</v>
      </c>
    </row>
    <row r="716" spans="1:7" x14ac:dyDescent="0.2">
      <c r="A716">
        <v>715</v>
      </c>
      <c r="B716" t="s">
        <v>1537</v>
      </c>
      <c r="C716" s="53" t="str">
        <f ca="1">HYPERLINK("#" &amp; CELL("address", 'V1.91+V1.91-F'!$A$23), "V1.91-F")</f>
        <v>V1.91-F</v>
      </c>
      <c r="D716" s="53" t="str">
        <f ca="1">HYPERLINK("#" &amp; CELL("address", 'V1.91+V1.91-F'!$I$3), "SCA")</f>
        <v>SCA</v>
      </c>
      <c r="E716" s="53" t="str">
        <f ca="1">HYPERLINK("#" &amp; CELL("address", 'V1.91+V1.91-F'!$I$18), "Merchant initiated transaction (MIT)")</f>
        <v>Merchant initiated transaction (MIT)</v>
      </c>
      <c r="F716" s="49" t="str">
        <f>'V1.91+V1.91-F'!$J$18</f>
        <v>MITR</v>
      </c>
      <c r="G716" s="53" t="str">
        <f ca="1">HYPERLINK("#" &amp; CELL("address", Concepts!$A$122), "Click here for definition")</f>
        <v>Click here for definition</v>
      </c>
    </row>
    <row r="717" spans="1:7" x14ac:dyDescent="0.2">
      <c r="A717">
        <v>716</v>
      </c>
      <c r="B717" t="s">
        <v>1537</v>
      </c>
      <c r="C717" s="53" t="str">
        <f ca="1">HYPERLINK("#" &amp; CELL("address", 'V1.91+V1.91-F'!$A$23), "V1.91-F")</f>
        <v>V1.91-F</v>
      </c>
      <c r="D717" s="53" t="str">
        <f ca="1">HYPERLINK("#" &amp; CELL("address", 'V1.91+V1.91-F'!$K$3), "Fraud type")</f>
        <v>Fraud type</v>
      </c>
      <c r="E717" s="53" t="str">
        <f ca="1">HYPERLINK("#" &amp; CELL("address", 'V1.91+V1.91-F'!$K$27), "Lost or stolen e-money card")</f>
        <v>Lost or stolen e-money card</v>
      </c>
      <c r="F717" s="49" t="str">
        <f>'V1.91+V1.91-F'!$L$27</f>
        <v>LSEC</v>
      </c>
      <c r="G717" s="53" t="str">
        <f ca="1">HYPERLINK("#" &amp; CELL("address", Concepts!$A$124), "Click here for definition")</f>
        <v>Click here for definition</v>
      </c>
    </row>
    <row r="718" spans="1:7" x14ac:dyDescent="0.2">
      <c r="A718">
        <v>717</v>
      </c>
      <c r="B718" t="s">
        <v>1537</v>
      </c>
      <c r="C718" s="53" t="str">
        <f ca="1">HYPERLINK("#" &amp; CELL("address", 'V1.91+V1.91-F'!$A$23), "V1.91-F")</f>
        <v>V1.91-F</v>
      </c>
      <c r="D718" s="53" t="str">
        <f ca="1">HYPERLINK("#" &amp; CELL("address", 'V1.91+V1.91-F'!$K$3), "Fraud type")</f>
        <v>Fraud type</v>
      </c>
      <c r="E718" s="53" t="str">
        <f ca="1">HYPERLINK("#" &amp; CELL("address", 'V1.91+V1.91-F'!$K$28), "E-money card not received")</f>
        <v>E-money card not received</v>
      </c>
      <c r="F718" s="49" t="str">
        <f>'V1.91+V1.91-F'!$L$28</f>
        <v>NREC</v>
      </c>
      <c r="G718" s="53" t="str">
        <f ca="1">HYPERLINK("#" &amp; CELL("address", Concepts!$A$126), "Click here for definition")</f>
        <v>Click here for definition</v>
      </c>
    </row>
    <row r="719" spans="1:7" x14ac:dyDescent="0.2">
      <c r="A719">
        <v>718</v>
      </c>
      <c r="B719" t="s">
        <v>1537</v>
      </c>
      <c r="C719" s="53" t="str">
        <f ca="1">HYPERLINK("#" &amp; CELL("address", 'V1.91+V1.91-F'!$A$23), "V1.91-F")</f>
        <v>V1.91-F</v>
      </c>
      <c r="D719" s="53" t="str">
        <f ca="1">HYPERLINK("#" &amp; CELL("address", 'V1.91+V1.91-F'!$K$3), "Fraud type")</f>
        <v>Fraud type</v>
      </c>
      <c r="E719" s="53" t="str">
        <f ca="1">HYPERLINK("#" &amp; CELL("address", 'V1.91+V1.91-F'!$K$29), "Counterfeit e-money card")</f>
        <v>Counterfeit e-money card</v>
      </c>
      <c r="F719" s="49" t="str">
        <f>'V1.91+V1.91-F'!$L$29</f>
        <v>CFEC</v>
      </c>
      <c r="G719" s="53" t="str">
        <f ca="1">HYPERLINK("#" &amp; CELL("address", Concepts!$A$128), "Click here for definition")</f>
        <v>Click here for definition</v>
      </c>
    </row>
    <row r="720" spans="1:7" x14ac:dyDescent="0.2">
      <c r="A720">
        <v>719</v>
      </c>
      <c r="B720" t="s">
        <v>1537</v>
      </c>
      <c r="C720" s="53" t="str">
        <f ca="1">HYPERLINK("#" &amp; CELL("address", 'V1.91+V1.91-F'!$A$23), "V1.91-F")</f>
        <v>V1.91-F</v>
      </c>
      <c r="D720" s="53" t="str">
        <f ca="1">HYPERLINK("#" &amp; CELL("address", 'V1.91+V1.91-F'!$K$3), "Fraud type")</f>
        <v>Fraud type</v>
      </c>
      <c r="E720" s="53" t="str">
        <f ca="1">HYPERLINK("#" &amp; CELL("address", 'V1.91+V1.91-F'!$K$30), "Unauthorised e-money account transaction")</f>
        <v>Unauthorised e-money account transaction</v>
      </c>
      <c r="F720" s="49" t="str">
        <f>'V1.91+V1.91-F'!$L$30</f>
        <v>UNET</v>
      </c>
      <c r="G720" s="53" t="str">
        <f ca="1">HYPERLINK("#" &amp; CELL("address", Concepts!$A$72), "Click here for definition")</f>
        <v>Click here for definition</v>
      </c>
    </row>
    <row r="721" spans="1:7" x14ac:dyDescent="0.2">
      <c r="A721">
        <v>720</v>
      </c>
      <c r="B721" t="s">
        <v>1537</v>
      </c>
      <c r="C721" s="53" t="str">
        <f ca="1">HYPERLINK("#" &amp; CELL("address", 'V1.91+V1.91-F'!$A$23), "V1.91-F")</f>
        <v>V1.91-F</v>
      </c>
      <c r="D721" s="53" t="str">
        <f ca="1">HYPERLINK("#" &amp; CELL("address", 'V1.91+V1.91-F'!$K$3), "Fraud type")</f>
        <v>Fraud type</v>
      </c>
      <c r="E721" s="53" t="str">
        <f ca="1">HYPERLINK("#" &amp; CELL("address", 'V1.91+V1.91-F'!$K$31), "Modification of a payment order by the fraudster")</f>
        <v>Modification of a payment order by the fraudster</v>
      </c>
      <c r="F721" s="49" t="str">
        <f>'V1.91+V1.91-F'!$L$31</f>
        <v>MODF</v>
      </c>
      <c r="G721" s="53" t="str">
        <f ca="1">HYPERLINK("#" &amp; CELL("address", Concepts!$A$61), "Click here for definition")</f>
        <v>Click here for definition</v>
      </c>
    </row>
    <row r="722" spans="1:7" x14ac:dyDescent="0.2">
      <c r="A722">
        <v>721</v>
      </c>
      <c r="B722" t="s">
        <v>1537</v>
      </c>
      <c r="C722" s="53" t="str">
        <f ca="1">HYPERLINK("#" &amp; CELL("address", 'V1.91+V1.91-F'!$A$23), "V1.91-F")</f>
        <v>V1.91-F</v>
      </c>
      <c r="D722" s="53" t="str">
        <f ca="1">HYPERLINK("#" &amp; CELL("address", 'V1.91+V1.91-F'!$K$3), "Fraud type")</f>
        <v>Fraud type</v>
      </c>
      <c r="E722" s="53" t="str">
        <f ca="1">HYPERLINK("#" &amp; CELL("address", 'V1.91+V1.91-F'!$K$32), "Manipulation of the payer to make an e-money payment")</f>
        <v>Manipulation of the payer to make an e-money payment</v>
      </c>
      <c r="F722" s="49" t="str">
        <f>'V1.91+V1.91-F'!$L$32</f>
        <v>MNEP</v>
      </c>
      <c r="G722" s="53" t="str">
        <f ca="1">HYPERLINK("#" &amp; CELL("address", Concepts!$A$65), "Click here for definition")</f>
        <v>Click here for definition</v>
      </c>
    </row>
    <row r="723" spans="1:7" x14ac:dyDescent="0.2">
      <c r="A723">
        <v>722</v>
      </c>
      <c r="B723" t="s">
        <v>1537</v>
      </c>
      <c r="C723" s="53" t="str">
        <f ca="1">HYPERLINK("#" &amp; CELL("address", 'V1.91+V1.91-F'!$A$23), "V1.91-F")</f>
        <v>V1.91-F</v>
      </c>
      <c r="D723" s="53" t="str">
        <f ca="1">HYPERLINK("#" &amp; CELL("address", 'V1.91+V1.91-F'!$K$3), "Fraud type")</f>
        <v>Fraud type</v>
      </c>
      <c r="E723" s="53" t="str">
        <f ca="1">HYPERLINK("#" &amp; CELL("address", 'V1.91+V1.91-F'!$K$35), "Card details theft")</f>
        <v>Card details theft</v>
      </c>
      <c r="F723" s="49" t="str">
        <f>'V1.91+V1.91-F'!$L$35</f>
        <v>CATH</v>
      </c>
      <c r="G723" s="53" t="str">
        <f ca="1">HYPERLINK("#" &amp; CELL("address", Concepts!$A$129), "Click here for definition")</f>
        <v>Click here for definition</v>
      </c>
    </row>
    <row r="724" spans="1:7" x14ac:dyDescent="0.2">
      <c r="A724">
        <v>723</v>
      </c>
      <c r="B724" t="s">
        <v>1537</v>
      </c>
      <c r="C724" s="53" t="str">
        <f ca="1">HYPERLINK("#" &amp; CELL("address", 'V1.91+V1.91-F'!$A$23), "V1.91-F")</f>
        <v>V1.91-F</v>
      </c>
      <c r="D724" s="53" t="str">
        <f ca="1">HYPERLINK("#" &amp; CELL("address", 'V1.91+V1.91-F'!$M$3), "Country of debtor EMS")</f>
        <v>Country of debtor EMS</v>
      </c>
      <c r="E724" s="53" t="str">
        <f ca="1">HYPERLINK("#" &amp; CELL("address", 'V1.91+V1.91-F'!$M$4), "2-letter ISO 3166 country code")</f>
        <v>2-letter ISO 3166 country code</v>
      </c>
      <c r="F724" s="49" t="str">
        <f>'V1.91+V1.91-F'!$N$4</f>
        <v>[Geo]</v>
      </c>
      <c r="G724" s="53" t="str">
        <f ca="1">HYPERLINK("#" &amp; CELL("address", Concepts!$A$145), "Click here for definition")</f>
        <v>Click here for definition</v>
      </c>
    </row>
    <row r="725" spans="1:7" x14ac:dyDescent="0.2">
      <c r="A725">
        <v>724</v>
      </c>
      <c r="B725" t="s">
        <v>1537</v>
      </c>
      <c r="C725" s="53" t="str">
        <f ca="1">HYPERLINK("#" &amp; CELL("address", 'V1.91+V1.91-F'!$A$23), "V1.91-F")</f>
        <v>V1.91-F</v>
      </c>
      <c r="D725" s="53" t="str">
        <f ca="1">HYPERLINK("#" &amp; CELL("address", 'V1.91+V1.91-F'!$O$3), "Country of creditor EMS")</f>
        <v>Country of creditor EMS</v>
      </c>
      <c r="E725" s="53" t="str">
        <f ca="1">HYPERLINK("#" &amp; CELL("address", 'V1.91+V1.91-F'!$O$4), "2-letter ISO 3166 country code")</f>
        <v>2-letter ISO 3166 country code</v>
      </c>
      <c r="F725" s="49" t="str">
        <f>'V1.91+V1.91-F'!$P$4</f>
        <v>[Geo]</v>
      </c>
      <c r="G725" s="53" t="str">
        <f ca="1">HYPERLINK("#" &amp; CELL("address", Concepts!$A$145), "Click here for definition")</f>
        <v>Click here for definition</v>
      </c>
    </row>
    <row r="726" spans="1:7" x14ac:dyDescent="0.2">
      <c r="A726">
        <v>725</v>
      </c>
      <c r="B726" t="s">
        <v>1537</v>
      </c>
      <c r="C726" s="53" t="str">
        <f ca="1">HYPERLINK("#" &amp; CELL("address", 'V1.91+V1.91-F'!$A$23), "V1.91-F")</f>
        <v>V1.91-F</v>
      </c>
      <c r="D726" s="53" t="str">
        <f ca="1">HYPERLINK("#" &amp; CELL("address", 'V1.91+V1.91-F'!$Q$3), "Country of debtor residence")</f>
        <v>Country of debtor residence</v>
      </c>
      <c r="E726" s="53" t="str">
        <f ca="1">HYPERLINK("#" &amp; CELL("address", 'V1.91+V1.91-F'!$Q$4), "2-letter ISO 3166 country code")</f>
        <v>2-letter ISO 3166 country code</v>
      </c>
      <c r="F726" s="49" t="str">
        <f>'V1.91+V1.91-F'!$R$4</f>
        <v>[Geo]</v>
      </c>
      <c r="G726" s="53" t="str">
        <f ca="1">HYPERLINK("#" &amp; CELL("address", Concepts!$A$145), "Click here for definition")</f>
        <v>Click here for definition</v>
      </c>
    </row>
    <row r="727" spans="1:7" x14ac:dyDescent="0.2">
      <c r="A727">
        <v>726</v>
      </c>
      <c r="B727" t="s">
        <v>1537</v>
      </c>
      <c r="C727" s="53" t="str">
        <f ca="1">HYPERLINK("#" &amp; CELL("address", 'V1.91+V1.91-F'!$A$23), "V1.91-F")</f>
        <v>V1.91-F</v>
      </c>
      <c r="D727" s="53" t="str">
        <f ca="1">HYPERLINK("#" &amp; CELL("address", 'V1.91+V1.91-F'!$S$3), "Country of creditor residence")</f>
        <v>Country of creditor residence</v>
      </c>
      <c r="E727" s="53" t="str">
        <f ca="1">HYPERLINK("#" &amp; CELL("address", 'V1.91+V1.91-F'!$S$4), "2-letter ISO 3166 country code")</f>
        <v>2-letter ISO 3166 country code</v>
      </c>
      <c r="F727" s="49" t="str">
        <f>'V1.91+V1.91-F'!$T$4</f>
        <v>[Geo]</v>
      </c>
      <c r="G727" s="53" t="str">
        <f ca="1">HYPERLINK("#" &amp; CELL("address", Concepts!$A$145), "Click here for definition")</f>
        <v>Click here for definition</v>
      </c>
    </row>
    <row r="728" spans="1:7" x14ac:dyDescent="0.2">
      <c r="A728">
        <v>727</v>
      </c>
      <c r="B728" t="s">
        <v>1537</v>
      </c>
      <c r="C728" s="53" t="str">
        <f ca="1">HYPERLINK("#" &amp; CELL("address", 'V1.91+V1.91-F'!$A$23), "V1.91-F")</f>
        <v>V1.91-F</v>
      </c>
      <c r="D728" s="53" t="str">
        <f ca="1">HYPERLINK("#" &amp; CELL("address", 'V1.91+V1.91-F'!$U$3), "Currency")</f>
        <v>Currency</v>
      </c>
      <c r="E728" s="53" t="str">
        <f ca="1">HYPERLINK("#" &amp; CELL("address", 'V1.91+V1.91-F'!$U$4), "3-letter ISO 4217 currency code")</f>
        <v>3-letter ISO 4217 currency code</v>
      </c>
      <c r="F728" s="49" t="str">
        <f>'V1.91+V1.91-F'!$V$4</f>
        <v>[Currency]</v>
      </c>
      <c r="G728" s="53" t="str">
        <f ca="1">HYPERLINK("#" &amp; CELL("address", Concepts!$A$146), "Click here for definition")</f>
        <v>Click here for definition</v>
      </c>
    </row>
    <row r="729" spans="1:7" x14ac:dyDescent="0.2">
      <c r="A729">
        <v>728</v>
      </c>
      <c r="B729" t="s">
        <v>1537</v>
      </c>
      <c r="C729" s="53" t="str">
        <f ca="1">HYPERLINK("#" &amp; CELL("address", 'V1.91+V1.91-F'!$A$23), "V1.91-F")</f>
        <v>V1.91-F</v>
      </c>
      <c r="D729" s="53" t="str">
        <f ca="1">HYPERLINK("#" &amp; CELL("address", 'V1.91+V1.91-F'!$W$3), "Metric")</f>
        <v>Metric</v>
      </c>
      <c r="E729" s="53" t="str">
        <f ca="1">HYPERLINK("#" &amp; CELL("address", 'V1.91+V1.91-F'!$W$4), "Number of transactions")</f>
        <v>Number of transactions</v>
      </c>
      <c r="F729" s="49" t="str">
        <f>'V1.91+V1.91-F'!$X$4</f>
        <v>VOLU</v>
      </c>
      <c r="G729" s="53" t="str">
        <f ca="1">HYPERLINK("#" &amp; CELL("address", Concepts!$A$147), "Click here for definition")</f>
        <v>Click here for definition</v>
      </c>
    </row>
    <row r="730" spans="1:7" x14ac:dyDescent="0.2">
      <c r="A730">
        <v>729</v>
      </c>
      <c r="B730" t="s">
        <v>1537</v>
      </c>
      <c r="C730" s="53" t="str">
        <f ca="1">HYPERLINK("#" &amp; CELL("address", 'V1.91+V1.91-F'!$A$23), "V1.91-F")</f>
        <v>V1.91-F</v>
      </c>
      <c r="D730" s="53" t="str">
        <f ca="1">HYPERLINK("#" &amp; CELL("address", 'V1.91+V1.91-F'!$W$3), "Metric")</f>
        <v>Metric</v>
      </c>
      <c r="E730" s="53" t="str">
        <f ca="1">HYPERLINK("#" &amp; CELL("address", 'V1.91+V1.91-F'!$W$5), "Value of transactions")</f>
        <v>Value of transactions</v>
      </c>
      <c r="F730" s="49" t="str">
        <f>'V1.91+V1.91-F'!$X$5</f>
        <v>VALE</v>
      </c>
      <c r="G730" s="53" t="str">
        <f ca="1">HYPERLINK("#" &amp; CELL("address", Concepts!$A$148), "Click here for definition")</f>
        <v>Click here for definition</v>
      </c>
    </row>
    <row r="731" spans="1:7" x14ac:dyDescent="0.2">
      <c r="A731">
        <v>730</v>
      </c>
      <c r="B731" t="s">
        <v>1464</v>
      </c>
      <c r="C731" s="53" t="str">
        <f ca="1">HYPERLINK("#" &amp; CELL("address", 'V1.100'!$A$2), "V1.100")</f>
        <v>V1.100</v>
      </c>
      <c r="D731" s="53" t="str">
        <f ca="1">HYPERLINK("#" &amp; CELL("address", 'V1.100'!$A$3), "Role of reporting PSP")</f>
        <v>Role of reporting PSP</v>
      </c>
      <c r="E731" s="53" t="str">
        <f ca="1">HYPERLINK("#" &amp; CELL("address", 'V1.100'!$A$4), "Debtor's PSP")</f>
        <v>Debtor's PSP</v>
      </c>
      <c r="F731" s="49" t="str">
        <f>'V1.100'!$B$4</f>
        <v>DPSP</v>
      </c>
      <c r="G731" s="53" t="str">
        <f ca="1">HYPERLINK("#" &amp; CELL("address", Concepts!$A$76), "Click here for definition")</f>
        <v>Click here for definition</v>
      </c>
    </row>
    <row r="732" spans="1:7" x14ac:dyDescent="0.2">
      <c r="A732">
        <v>731</v>
      </c>
      <c r="B732" t="s">
        <v>1464</v>
      </c>
      <c r="C732" s="53" t="str">
        <f ca="1">HYPERLINK("#" &amp; CELL("address", 'V1.100'!$A$2), "V1.100")</f>
        <v>V1.100</v>
      </c>
      <c r="D732" s="53" t="str">
        <f ca="1">HYPERLINK("#" &amp; CELL("address", 'V1.100'!$A$3), "Role of reporting PSP")</f>
        <v>Role of reporting PSP</v>
      </c>
      <c r="E732" s="53" t="str">
        <f ca="1">HYPERLINK("#" &amp; CELL("address", 'V1.100'!$A$5), "Creditor's PSP")</f>
        <v>Creditor's PSP</v>
      </c>
      <c r="F732" s="49" t="str">
        <f>'V1.100'!$B$5</f>
        <v>CPSP</v>
      </c>
      <c r="G732" s="53" t="str">
        <f ca="1">HYPERLINK("#" &amp; CELL("address", Concepts!$A$77), "Click here for definition")</f>
        <v>Click here for definition</v>
      </c>
    </row>
    <row r="733" spans="1:7" x14ac:dyDescent="0.2">
      <c r="A733">
        <v>732</v>
      </c>
      <c r="B733" t="s">
        <v>1464</v>
      </c>
      <c r="C733" s="53" t="str">
        <f ca="1">HYPERLINK("#" &amp; CELL("address", 'V1.100'!$A$2), "V1.100")</f>
        <v>V1.100</v>
      </c>
      <c r="D733" s="53" t="str">
        <f ca="1">HYPERLINK("#" &amp; CELL("address", 'V1.100'!$C$3), "Underlying payment instrument")</f>
        <v>Underlying payment instrument</v>
      </c>
      <c r="E733" s="53" t="str">
        <f ca="1">HYPERLINK("#" &amp; CELL("address", 'V1.100'!$C$4), "Credit transfer")</f>
        <v>Credit transfer</v>
      </c>
      <c r="F733" s="49" t="str">
        <f>'V1.100'!$D$4</f>
        <v>CRTR</v>
      </c>
      <c r="G733" s="53" t="str">
        <f ca="1">HYPERLINK("#" &amp; CELL("address", Concepts!$A$134), "Click here for definition")</f>
        <v>Click here for definition</v>
      </c>
    </row>
    <row r="734" spans="1:7" x14ac:dyDescent="0.2">
      <c r="A734">
        <v>733</v>
      </c>
      <c r="B734" t="s">
        <v>1464</v>
      </c>
      <c r="C734" s="53" t="str">
        <f ca="1">HYPERLINK("#" &amp; CELL("address", 'V1.100'!$A$2), "V1.100")</f>
        <v>V1.100</v>
      </c>
      <c r="D734" s="53" t="str">
        <f ca="1">HYPERLINK("#" &amp; CELL("address", 'V1.100'!$C$3), "Underlying payment instrument")</f>
        <v>Underlying payment instrument</v>
      </c>
      <c r="E734" s="53" t="str">
        <f ca="1">HYPERLINK("#" &amp; CELL("address", 'V1.100'!$C$5), "Direct debit")</f>
        <v>Direct debit</v>
      </c>
      <c r="F734" s="49" t="str">
        <f>'V1.100'!$D$5</f>
        <v>DIDE</v>
      </c>
      <c r="G734" s="53" t="str">
        <f ca="1">HYPERLINK("#" &amp; CELL("address", Concepts!$A$135), "Click here for definition")</f>
        <v>Click here for definition</v>
      </c>
    </row>
    <row r="735" spans="1:7" x14ac:dyDescent="0.2">
      <c r="A735">
        <v>734</v>
      </c>
      <c r="B735" t="s">
        <v>1464</v>
      </c>
      <c r="C735" s="53" t="str">
        <f ca="1">HYPERLINK("#" &amp; CELL("address", 'V1.100'!$A$2), "V1.100")</f>
        <v>V1.100</v>
      </c>
      <c r="D735" s="53" t="str">
        <f ca="1">HYPERLINK("#" &amp; CELL("address", 'V1.100'!$C$3), "Underlying payment instrument")</f>
        <v>Underlying payment instrument</v>
      </c>
      <c r="E735" s="53" t="str">
        <f ca="1">HYPERLINK("#" &amp; CELL("address", 'V1.100'!$C$6), "Payment card")</f>
        <v>Payment card</v>
      </c>
      <c r="F735" s="49" t="str">
        <f>'V1.100'!$D$6</f>
        <v>PMCA</v>
      </c>
      <c r="G735" s="53" t="str">
        <f ca="1">HYPERLINK("#" &amp; CELL("address", Concepts!$A$136), "Click here for definition")</f>
        <v>Click here for definition</v>
      </c>
    </row>
    <row r="736" spans="1:7" x14ac:dyDescent="0.2">
      <c r="A736">
        <v>735</v>
      </c>
      <c r="B736" t="s">
        <v>1464</v>
      </c>
      <c r="C736" s="53" t="str">
        <f ca="1">HYPERLINK("#" &amp; CELL("address", 'V1.100'!$A$2), "V1.100")</f>
        <v>V1.100</v>
      </c>
      <c r="D736" s="53" t="str">
        <f ca="1">HYPERLINK("#" &amp; CELL("address", 'V1.100'!$C$3), "Underlying payment instrument")</f>
        <v>Underlying payment instrument</v>
      </c>
      <c r="E736" s="53" t="str">
        <f ca="1">HYPERLINK("#" &amp; CELL("address", 'V1.100'!$C$7), "E-money")</f>
        <v>E-money</v>
      </c>
      <c r="F736" s="49" t="str">
        <f>'V1.100'!$D$7</f>
        <v>EMON</v>
      </c>
      <c r="G736" s="53" t="str">
        <f ca="1">HYPERLINK("#" &amp; CELL("address", Concepts!$A$174), "Click here for definition")</f>
        <v>Click here for definition</v>
      </c>
    </row>
    <row r="737" spans="1:7" x14ac:dyDescent="0.2">
      <c r="A737">
        <v>736</v>
      </c>
      <c r="B737" t="s">
        <v>1464</v>
      </c>
      <c r="C737" s="53" t="str">
        <f ca="1">HYPERLINK("#" &amp; CELL("address", 'V1.100'!$A$2), "V1.100")</f>
        <v>V1.100</v>
      </c>
      <c r="D737" s="53" t="str">
        <f ca="1">HYPERLINK("#" &amp; CELL("address", 'V1.100'!$C$3), "Underlying payment instrument")</f>
        <v>Underlying payment instrument</v>
      </c>
      <c r="E737" s="53" t="str">
        <f ca="1">HYPERLINK("#" &amp; CELL("address", 'V1.100'!$C$8), "Money remittance")</f>
        <v>Money remittance</v>
      </c>
      <c r="F737" s="49" t="str">
        <f>'V1.100'!$D$8</f>
        <v>MREM</v>
      </c>
      <c r="G737" s="53" t="str">
        <f ca="1">HYPERLINK("#" &amp; CELL("address", Concepts!$A$139), "Click here for definition")</f>
        <v>Click here for definition</v>
      </c>
    </row>
    <row r="738" spans="1:7" x14ac:dyDescent="0.2">
      <c r="A738">
        <v>737</v>
      </c>
      <c r="B738" t="s">
        <v>1464</v>
      </c>
      <c r="C738" s="53" t="str">
        <f ca="1">HYPERLINK("#" &amp; CELL("address", 'V1.100'!$A$2), "V1.100")</f>
        <v>V1.100</v>
      </c>
      <c r="D738" s="53" t="str">
        <f ca="1">HYPERLINK("#" &amp; CELL("address", 'V1.100'!$C$3), "Underlying payment instrument")</f>
        <v>Underlying payment instrument</v>
      </c>
      <c r="E738" s="53" t="str">
        <f ca="1">HYPERLINK("#" &amp; CELL("address", 'V1.100'!$C$9), "Other")</f>
        <v>Other</v>
      </c>
      <c r="F738" s="49" t="str">
        <f>'V1.100'!$D$9</f>
        <v>OTHR</v>
      </c>
      <c r="G738" s="53"/>
    </row>
    <row r="739" spans="1:7" x14ac:dyDescent="0.2">
      <c r="A739">
        <v>738</v>
      </c>
      <c r="B739" t="s">
        <v>1464</v>
      </c>
      <c r="C739" s="53" t="str">
        <f ca="1">HYPERLINK("#" &amp; CELL("address", 'V1.100'!$A$2), "V1.100")</f>
        <v>V1.100</v>
      </c>
      <c r="D739" s="53" t="str">
        <f ca="1">HYPERLINK("#" &amp; CELL("address", 'V1.100'!$C$3), "Underlying payment instrument")</f>
        <v>Underlying payment instrument</v>
      </c>
      <c r="E739" s="53" t="str">
        <f ca="1">HYPERLINK("#" &amp; CELL("address", 'V1.100'!$C$10), "Unknown")</f>
        <v>Unknown</v>
      </c>
      <c r="F739" s="49" t="str">
        <f>'V1.100'!$D$10</f>
        <v>UNKN</v>
      </c>
      <c r="G739" s="53" t="str">
        <f ca="1">HYPERLINK("#" &amp; CELL("address", Concepts!$A$175), "Click here for definition")</f>
        <v>Click here for definition</v>
      </c>
    </row>
    <row r="740" spans="1:7" x14ac:dyDescent="0.2">
      <c r="A740">
        <v>739</v>
      </c>
      <c r="B740" t="s">
        <v>1464</v>
      </c>
      <c r="C740" s="53" t="str">
        <f ca="1">HYPERLINK("#" &amp; CELL("address", 'V1.100'!$A$2), "V1.100")</f>
        <v>V1.100</v>
      </c>
      <c r="D740" s="53" t="str">
        <f ca="1">HYPERLINK("#" &amp; CELL("address", 'V1.100'!$E$3), "Metric")</f>
        <v>Metric</v>
      </c>
      <c r="E740" s="53" t="str">
        <f ca="1">HYPERLINK("#" &amp; CELL("address", 'V1.100'!$E$4), "Number of transactions")</f>
        <v>Number of transactions</v>
      </c>
      <c r="F740" s="49" t="str">
        <f>'V1.100'!$F$4</f>
        <v>VOLU</v>
      </c>
      <c r="G740" s="53" t="str">
        <f ca="1">HYPERLINK("#" &amp; CELL("address", Concepts!$A$147), "Click here for definition")</f>
        <v>Click here for definition</v>
      </c>
    </row>
    <row r="741" spans="1:7" x14ac:dyDescent="0.2">
      <c r="A741">
        <v>740</v>
      </c>
      <c r="B741" t="s">
        <v>1464</v>
      </c>
      <c r="C741" s="53" t="str">
        <f ca="1">HYPERLINK("#" &amp; CELL("address", 'V1.100'!$A$2), "V1.100")</f>
        <v>V1.100</v>
      </c>
      <c r="D741" s="53" t="str">
        <f ca="1">HYPERLINK("#" &amp; CELL("address", 'V1.100'!$E$3), "Metric")</f>
        <v>Metric</v>
      </c>
      <c r="E741" s="53" t="str">
        <f ca="1">HYPERLINK("#" &amp; CELL("address", 'V1.100'!$E$5), "Value of transactions")</f>
        <v>Value of transactions</v>
      </c>
      <c r="F741" s="49" t="str">
        <f>'V1.100'!$F$5</f>
        <v>VALE</v>
      </c>
      <c r="G741" s="53" t="str">
        <f ca="1">HYPERLINK("#" &amp; CELL("address", Concepts!$A$148), "Click here for definition")</f>
        <v>Click here for definition</v>
      </c>
    </row>
    <row r="742" spans="1:7" x14ac:dyDescent="0.2">
      <c r="A742">
        <v>741</v>
      </c>
      <c r="B742" t="s">
        <v>1538</v>
      </c>
      <c r="C742" s="53" t="str">
        <f ca="1">HYPERLINK("#" &amp; CELL("address", 'V1.110+V1.110-F'!$A$2), "V1.110")</f>
        <v>V1.110</v>
      </c>
      <c r="D742" s="53" t="str">
        <f ca="1">HYPERLINK("#" &amp; CELL("address", 'V1.110+V1.110-F'!$A$3), "Payment instrument type")</f>
        <v>Payment instrument type</v>
      </c>
      <c r="E742" s="53" t="str">
        <f ca="1">HYPERLINK("#" &amp; CELL("address", 'V1.110+V1.110-F'!$A$5), "Instant credit transfer")</f>
        <v>Instant credit transfer</v>
      </c>
      <c r="F742" s="49" t="str">
        <f>'V1.110+V1.110-F'!$B$5</f>
        <v>CTIN</v>
      </c>
      <c r="G742" s="53" t="str">
        <f ca="1">HYPERLINK("#" &amp; CELL("address", Concepts!$A$180), "Click here for definition")</f>
        <v>Click here for definition</v>
      </c>
    </row>
    <row r="743" spans="1:7" x14ac:dyDescent="0.2">
      <c r="A743">
        <v>742</v>
      </c>
      <c r="B743" t="s">
        <v>1538</v>
      </c>
      <c r="C743" s="53" t="str">
        <f ca="1">HYPERLINK("#" &amp; CELL("address", 'V1.110+V1.110-F'!$A$2), "V1.110")</f>
        <v>V1.110</v>
      </c>
      <c r="D743" s="53" t="str">
        <f ca="1">HYPERLINK("#" &amp; CELL("address", 'V1.110+V1.110-F'!$A$3), "Payment instrument type")</f>
        <v>Payment instrument type</v>
      </c>
      <c r="E743" s="53" t="str">
        <f ca="1">HYPERLINK("#" &amp; CELL("address", 'V1.110+V1.110-F'!$A$6), "Other credit transfer")</f>
        <v>Other credit transfer</v>
      </c>
      <c r="F743" s="49" t="str">
        <f>'V1.110+V1.110-F'!$B$6</f>
        <v>CTOT</v>
      </c>
      <c r="G743" s="53" t="str">
        <f ca="1">HYPERLINK("#" &amp; CELL("address", Concepts!$A$181), "Click here for definition")</f>
        <v>Click here for definition</v>
      </c>
    </row>
    <row r="744" spans="1:7" x14ac:dyDescent="0.2">
      <c r="A744">
        <v>743</v>
      </c>
      <c r="B744" t="s">
        <v>1538</v>
      </c>
      <c r="C744" s="53" t="str">
        <f ca="1">HYPERLINK("#" &amp; CELL("address", 'V1.110+V1.110-F'!$A$2), "V1.110")</f>
        <v>V1.110</v>
      </c>
      <c r="D744" s="53" t="str">
        <f ca="1">HYPERLINK("#" &amp; CELL("address", 'V1.110+V1.110-F'!$A$3), "Payment instrument type")</f>
        <v>Payment instrument type</v>
      </c>
      <c r="E744" s="53" t="str">
        <f ca="1">HYPERLINK("#" &amp; CELL("address", 'V1.110+V1.110-F'!$A$7), "Other")</f>
        <v>Other</v>
      </c>
      <c r="F744" s="49" t="str">
        <f>'V1.110+V1.110-F'!$B$7</f>
        <v>OTHR</v>
      </c>
      <c r="G744" s="53"/>
    </row>
    <row r="745" spans="1:7" x14ac:dyDescent="0.2">
      <c r="A745">
        <v>744</v>
      </c>
      <c r="B745" t="s">
        <v>1538</v>
      </c>
      <c r="C745" s="53" t="str">
        <f ca="1">HYPERLINK("#" &amp; CELL("address", 'V1.110+V1.110-F'!$A$2), "V1.110")</f>
        <v>V1.110</v>
      </c>
      <c r="D745" s="53" t="str">
        <f ca="1">HYPERLINK("#" &amp; CELL("address", 'V1.110+V1.110-F'!$C$3), "Initiation sub-channel")</f>
        <v>Initiation sub-channel</v>
      </c>
      <c r="E745" s="53" t="str">
        <f ca="1">HYPERLINK("#" &amp; CELL("address", 'V1.110+V1.110-F'!$C$4), "Remote")</f>
        <v>Remote</v>
      </c>
      <c r="F745" s="49" t="str">
        <f>'V1.110+V1.110-F'!$D$4</f>
        <v>REM1</v>
      </c>
      <c r="G745" s="53" t="str">
        <f ca="1">HYPERLINK("#" &amp; CELL("address", Concepts!$A$43), "Click here for definition")</f>
        <v>Click here for definition</v>
      </c>
    </row>
    <row r="746" spans="1:7" x14ac:dyDescent="0.2">
      <c r="A746">
        <v>745</v>
      </c>
      <c r="B746" t="s">
        <v>1538</v>
      </c>
      <c r="C746" s="53" t="str">
        <f ca="1">HYPERLINK("#" &amp; CELL("address", 'V1.110+V1.110-F'!$A$2), "V1.110")</f>
        <v>V1.110</v>
      </c>
      <c r="D746" s="53" t="str">
        <f ca="1">HYPERLINK("#" &amp; CELL("address", 'V1.110+V1.110-F'!$C$3), "Initiation sub-channel")</f>
        <v>Initiation sub-channel</v>
      </c>
      <c r="E746" s="53" t="str">
        <f ca="1">HYPERLINK("#" &amp; CELL("address", 'V1.110+V1.110-F'!$C$5), "Non-remote")</f>
        <v>Non-remote</v>
      </c>
      <c r="F746" s="49" t="str">
        <f>'V1.110+V1.110-F'!$D$5</f>
        <v>REM0</v>
      </c>
      <c r="G746" s="53" t="str">
        <f ca="1">HYPERLINK("#" &amp; CELL("address", Concepts!$A$44), "Click here for definition")</f>
        <v>Click here for definition</v>
      </c>
    </row>
    <row r="747" spans="1:7" x14ac:dyDescent="0.2">
      <c r="A747">
        <v>746</v>
      </c>
      <c r="B747" t="s">
        <v>1538</v>
      </c>
      <c r="C747" s="53" t="str">
        <f ca="1">HYPERLINK("#" &amp; CELL("address", 'V1.110+V1.110-F'!$A$2), "V1.110")</f>
        <v>V1.110</v>
      </c>
      <c r="D747" s="53" t="str">
        <f ca="1">HYPERLINK("#" &amp; CELL("address", 'V1.110+V1.110-F'!$E$3), "SCA")</f>
        <v>SCA</v>
      </c>
      <c r="E747" s="53" t="str">
        <f ca="1">HYPERLINK("#" &amp; CELL("address", 'V1.110+V1.110-F'!$E$4), "SCA used")</f>
        <v>SCA used</v>
      </c>
      <c r="F747" s="49" t="str">
        <f>'V1.110+V1.110-F'!$F$4</f>
        <v>SCA1</v>
      </c>
      <c r="G747" s="53" t="str">
        <f ca="1">HYPERLINK("#" &amp; CELL("address", Concepts!$A$47), "Click here for definition")</f>
        <v>Click here for definition</v>
      </c>
    </row>
    <row r="748" spans="1:7" x14ac:dyDescent="0.2">
      <c r="A748">
        <v>747</v>
      </c>
      <c r="B748" t="s">
        <v>1538</v>
      </c>
      <c r="C748" s="53" t="str">
        <f ca="1">HYPERLINK("#" &amp; CELL("address", 'V1.110+V1.110-F'!$A$2), "V1.110")</f>
        <v>V1.110</v>
      </c>
      <c r="D748" s="53" t="str">
        <f ca="1">HYPERLINK("#" &amp; CELL("address", 'V1.110+V1.110-F'!$E$3), "SCA")</f>
        <v>SCA</v>
      </c>
      <c r="E748" s="53" t="str">
        <f ca="1">HYPERLINK("#" &amp; CELL("address", 'V1.110+V1.110-F'!$E$5), "Non-SCA used")</f>
        <v>Non-SCA used</v>
      </c>
      <c r="F748" s="49" t="str">
        <f>'V1.110+V1.110-F'!$F$5</f>
        <v>SCA0</v>
      </c>
      <c r="G748" s="53" t="str">
        <f ca="1">HYPERLINK("#" &amp; CELL("address", Concepts!$A$178), "Click here for definition")</f>
        <v>Click here for definition</v>
      </c>
    </row>
    <row r="749" spans="1:7" x14ac:dyDescent="0.2">
      <c r="A749">
        <v>748</v>
      </c>
      <c r="B749" t="s">
        <v>1538</v>
      </c>
      <c r="C749" s="53" t="str">
        <f ca="1">HYPERLINK("#" &amp; CELL("address", 'V1.110+V1.110-F'!$A$2), "V1.110")</f>
        <v>V1.110</v>
      </c>
      <c r="D749" s="53" t="str">
        <f ca="1">HYPERLINK("#" &amp; CELL("address", 'V1.110+V1.110-F'!$G$3), "Country of ASPSP")</f>
        <v>Country of ASPSP</v>
      </c>
      <c r="E749" s="53" t="str">
        <f ca="1">HYPERLINK("#" &amp; CELL("address", 'V1.110+V1.110-F'!$G$4), "2-letter ISO 3166 country code")</f>
        <v>2-letter ISO 3166 country code</v>
      </c>
      <c r="F749" s="49" t="str">
        <f>'V1.110+V1.110-F'!$H$4</f>
        <v>[Geo]</v>
      </c>
      <c r="G749" s="53" t="str">
        <f ca="1">HYPERLINK("#" &amp; CELL("address", Concepts!$A$145), "Click here for definition")</f>
        <v>Click here for definition</v>
      </c>
    </row>
    <row r="750" spans="1:7" x14ac:dyDescent="0.2">
      <c r="A750">
        <v>749</v>
      </c>
      <c r="B750" t="s">
        <v>1538</v>
      </c>
      <c r="C750" s="53" t="str">
        <f ca="1">HYPERLINK("#" &amp; CELL("address", 'V1.110+V1.110-F'!$A$2), "V1.110")</f>
        <v>V1.110</v>
      </c>
      <c r="D750" s="53" t="str">
        <f ca="1">HYPERLINK("#" &amp; CELL("address", 'V1.110+V1.110-F'!$I$3), "Currency")</f>
        <v>Currency</v>
      </c>
      <c r="E750" s="53" t="str">
        <f ca="1">HYPERLINK("#" &amp; CELL("address", 'V1.110+V1.110-F'!$I$4), "3-letter ISO 4217 currency code")</f>
        <v>3-letter ISO 4217 currency code</v>
      </c>
      <c r="F750" s="49" t="str">
        <f>'V1.110+V1.110-F'!$J$4</f>
        <v>[Currency]</v>
      </c>
      <c r="G750" s="53" t="str">
        <f ca="1">HYPERLINK("#" &amp; CELL("address", Concepts!$A$146), "Click here for definition")</f>
        <v>Click here for definition</v>
      </c>
    </row>
    <row r="751" spans="1:7" x14ac:dyDescent="0.2">
      <c r="A751">
        <v>750</v>
      </c>
      <c r="B751" t="s">
        <v>1538</v>
      </c>
      <c r="C751" s="53" t="str">
        <f ca="1">HYPERLINK("#" &amp; CELL("address", 'V1.110+V1.110-F'!$A$2), "V1.110")</f>
        <v>V1.110</v>
      </c>
      <c r="D751" s="53" t="str">
        <f ca="1">HYPERLINK("#" &amp; CELL("address", 'V1.110+V1.110-F'!$K$3), "Metric")</f>
        <v>Metric</v>
      </c>
      <c r="E751" s="53" t="str">
        <f ca="1">HYPERLINK("#" &amp; CELL("address", 'V1.110+V1.110-F'!$K$4), "Number of transactions")</f>
        <v>Number of transactions</v>
      </c>
      <c r="F751" s="49" t="str">
        <f>'V1.110+V1.110-F'!$L$4</f>
        <v>VOLU</v>
      </c>
      <c r="G751" s="53" t="str">
        <f ca="1">HYPERLINK("#" &amp; CELL("address", Concepts!$A$147), "Click here for definition")</f>
        <v>Click here for definition</v>
      </c>
    </row>
    <row r="752" spans="1:7" x14ac:dyDescent="0.2">
      <c r="A752">
        <v>751</v>
      </c>
      <c r="B752" t="s">
        <v>1538</v>
      </c>
      <c r="C752" s="53" t="str">
        <f ca="1">HYPERLINK("#" &amp; CELL("address", 'V1.110+V1.110-F'!$A$2), "V1.110")</f>
        <v>V1.110</v>
      </c>
      <c r="D752" s="53" t="str">
        <f ca="1">HYPERLINK("#" &amp; CELL("address", 'V1.110+V1.110-F'!$K$3), "Metric")</f>
        <v>Metric</v>
      </c>
      <c r="E752" s="53" t="str">
        <f ca="1">HYPERLINK("#" &amp; CELL("address", 'V1.110+V1.110-F'!$K$5), "Value of transactions")</f>
        <v>Value of transactions</v>
      </c>
      <c r="F752" s="49" t="str">
        <f>'V1.110+V1.110-F'!$L$5</f>
        <v>VALE</v>
      </c>
      <c r="G752" s="53" t="str">
        <f ca="1">HYPERLINK("#" &amp; CELL("address", Concepts!$A$148), "Click here for definition")</f>
        <v>Click here for definition</v>
      </c>
    </row>
    <row r="753" spans="1:7" x14ac:dyDescent="0.2">
      <c r="A753">
        <v>752</v>
      </c>
      <c r="B753" t="s">
        <v>1538</v>
      </c>
      <c r="C753" s="53" t="str">
        <f ca="1">HYPERLINK("#" &amp; CELL("address", 'V1.110+V1.110-F'!$A$23), "V1.110-F")</f>
        <v>V1.110-F</v>
      </c>
      <c r="D753" s="53" t="str">
        <f ca="1">HYPERLINK("#" &amp; CELL("address", 'V1.110+V1.110-F'!$A$3), "Payment instrument type")</f>
        <v>Payment instrument type</v>
      </c>
      <c r="E753" s="53" t="str">
        <f ca="1">HYPERLINK("#" &amp; CELL("address", 'V1.110+V1.110-F'!$A$5), "Instant credit transfer")</f>
        <v>Instant credit transfer</v>
      </c>
      <c r="F753" s="49" t="str">
        <f>'V1.110+V1.110-F'!$B$5</f>
        <v>CTIN</v>
      </c>
      <c r="G753" s="53" t="str">
        <f ca="1">HYPERLINK("#" &amp; CELL("address", Concepts!$A$180), "Click here for definition")</f>
        <v>Click here for definition</v>
      </c>
    </row>
    <row r="754" spans="1:7" x14ac:dyDescent="0.2">
      <c r="A754">
        <v>753</v>
      </c>
      <c r="B754" t="s">
        <v>1538</v>
      </c>
      <c r="C754" s="53" t="str">
        <f ca="1">HYPERLINK("#" &amp; CELL("address", 'V1.110+V1.110-F'!$A$23), "V1.110-F")</f>
        <v>V1.110-F</v>
      </c>
      <c r="D754" s="53" t="str">
        <f ca="1">HYPERLINK("#" &amp; CELL("address", 'V1.110+V1.110-F'!$A$3), "Payment instrument type")</f>
        <v>Payment instrument type</v>
      </c>
      <c r="E754" s="53" t="str">
        <f ca="1">HYPERLINK("#" &amp; CELL("address", 'V1.110+V1.110-F'!$A$6), "Other credit transfer")</f>
        <v>Other credit transfer</v>
      </c>
      <c r="F754" s="49" t="str">
        <f>'V1.110+V1.110-F'!$B$6</f>
        <v>CTOT</v>
      </c>
      <c r="G754" s="53" t="str">
        <f ca="1">HYPERLINK("#" &amp; CELL("address", Concepts!$A$181), "Click here for definition")</f>
        <v>Click here for definition</v>
      </c>
    </row>
    <row r="755" spans="1:7" x14ac:dyDescent="0.2">
      <c r="A755">
        <v>754</v>
      </c>
      <c r="B755" t="s">
        <v>1538</v>
      </c>
      <c r="C755" s="53" t="str">
        <f ca="1">HYPERLINK("#" &amp; CELL("address", 'V1.110+V1.110-F'!$A$23), "V1.110-F")</f>
        <v>V1.110-F</v>
      </c>
      <c r="D755" s="53" t="str">
        <f ca="1">HYPERLINK("#" &amp; CELL("address", 'V1.110+V1.110-F'!$A$3), "Payment instrument type")</f>
        <v>Payment instrument type</v>
      </c>
      <c r="E755" s="53" t="str">
        <f ca="1">HYPERLINK("#" &amp; CELL("address", 'V1.110+V1.110-F'!$A$7), "Other")</f>
        <v>Other</v>
      </c>
      <c r="F755" s="49" t="str">
        <f>'V1.110+V1.110-F'!$B$7</f>
        <v>OTHR</v>
      </c>
      <c r="G755" s="53"/>
    </row>
    <row r="756" spans="1:7" x14ac:dyDescent="0.2">
      <c r="A756">
        <v>755</v>
      </c>
      <c r="B756" t="s">
        <v>1538</v>
      </c>
      <c r="C756" s="53" t="str">
        <f ca="1">HYPERLINK("#" &amp; CELL("address", 'V1.110+V1.110-F'!$A$23), "V1.110-F")</f>
        <v>V1.110-F</v>
      </c>
      <c r="D756" s="53" t="str">
        <f ca="1">HYPERLINK("#" &amp; CELL("address", 'V1.110+V1.110-F'!$C$3), "Initiation sub-channel")</f>
        <v>Initiation sub-channel</v>
      </c>
      <c r="E756" s="53" t="str">
        <f ca="1">HYPERLINK("#" &amp; CELL("address", 'V1.110+V1.110-F'!$C$4), "Remote")</f>
        <v>Remote</v>
      </c>
      <c r="F756" s="49" t="str">
        <f>'V1.110+V1.110-F'!$D$4</f>
        <v>REM1</v>
      </c>
      <c r="G756" s="53" t="str">
        <f ca="1">HYPERLINK("#" &amp; CELL("address", Concepts!$A$43), "Click here for definition")</f>
        <v>Click here for definition</v>
      </c>
    </row>
    <row r="757" spans="1:7" x14ac:dyDescent="0.2">
      <c r="A757">
        <v>756</v>
      </c>
      <c r="B757" t="s">
        <v>1538</v>
      </c>
      <c r="C757" s="53" t="str">
        <f ca="1">HYPERLINK("#" &amp; CELL("address", 'V1.110+V1.110-F'!$A$23), "V1.110-F")</f>
        <v>V1.110-F</v>
      </c>
      <c r="D757" s="53" t="str">
        <f ca="1">HYPERLINK("#" &amp; CELL("address", 'V1.110+V1.110-F'!$C$3), "Initiation sub-channel")</f>
        <v>Initiation sub-channel</v>
      </c>
      <c r="E757" s="53" t="str">
        <f ca="1">HYPERLINK("#" &amp; CELL("address", 'V1.110+V1.110-F'!$C$5), "Non-remote")</f>
        <v>Non-remote</v>
      </c>
      <c r="F757" s="49" t="str">
        <f>'V1.110+V1.110-F'!$D$5</f>
        <v>REM0</v>
      </c>
      <c r="G757" s="53" t="str">
        <f ca="1">HYPERLINK("#" &amp; CELL("address", Concepts!$A$44), "Click here for definition")</f>
        <v>Click here for definition</v>
      </c>
    </row>
    <row r="758" spans="1:7" x14ac:dyDescent="0.2">
      <c r="A758">
        <v>757</v>
      </c>
      <c r="B758" t="s">
        <v>1538</v>
      </c>
      <c r="C758" s="53" t="str">
        <f ca="1">HYPERLINK("#" &amp; CELL("address", 'V1.110+V1.110-F'!$A$23), "V1.110-F")</f>
        <v>V1.110-F</v>
      </c>
      <c r="D758" s="53" t="str">
        <f ca="1">HYPERLINK("#" &amp; CELL("address", 'V1.110+V1.110-F'!$E$3), "SCA")</f>
        <v>SCA</v>
      </c>
      <c r="E758" s="53" t="str">
        <f ca="1">HYPERLINK("#" &amp; CELL("address", 'V1.110+V1.110-F'!$E$4), "SCA used")</f>
        <v>SCA used</v>
      </c>
      <c r="F758" s="49" t="str">
        <f>'V1.110+V1.110-F'!$F$4</f>
        <v>SCA1</v>
      </c>
      <c r="G758" s="53" t="str">
        <f ca="1">HYPERLINK("#" &amp; CELL("address", Concepts!$A$47), "Click here for definition")</f>
        <v>Click here for definition</v>
      </c>
    </row>
    <row r="759" spans="1:7" x14ac:dyDescent="0.2">
      <c r="A759">
        <v>758</v>
      </c>
      <c r="B759" t="s">
        <v>1538</v>
      </c>
      <c r="C759" s="53" t="str">
        <f ca="1">HYPERLINK("#" &amp; CELL("address", 'V1.110+V1.110-F'!$A$23), "V1.110-F")</f>
        <v>V1.110-F</v>
      </c>
      <c r="D759" s="53" t="str">
        <f ca="1">HYPERLINK("#" &amp; CELL("address", 'V1.110+V1.110-F'!$E$3), "SCA")</f>
        <v>SCA</v>
      </c>
      <c r="E759" s="53" t="str">
        <f ca="1">HYPERLINK("#" &amp; CELL("address", 'V1.110+V1.110-F'!$E$5), "Non-SCA used")</f>
        <v>Non-SCA used</v>
      </c>
      <c r="F759" s="49" t="str">
        <f>'V1.110+V1.110-F'!$F$5</f>
        <v>SCA0</v>
      </c>
      <c r="G759" s="53" t="str">
        <f ca="1">HYPERLINK("#" &amp; CELL("address", Concepts!$A$178), "Click here for definition")</f>
        <v>Click here for definition</v>
      </c>
    </row>
    <row r="760" spans="1:7" x14ac:dyDescent="0.2">
      <c r="A760">
        <v>759</v>
      </c>
      <c r="B760" t="s">
        <v>1538</v>
      </c>
      <c r="C760" s="53" t="str">
        <f ca="1">HYPERLINK("#" &amp; CELL("address", 'V1.110+V1.110-F'!$A$23), "V1.110-F")</f>
        <v>V1.110-F</v>
      </c>
      <c r="D760" s="53" t="str">
        <f ca="1">HYPERLINK("#" &amp; CELL("address", 'V1.110+V1.110-F'!$G$3), "Country of ASPSP")</f>
        <v>Country of ASPSP</v>
      </c>
      <c r="E760" s="53" t="str">
        <f ca="1">HYPERLINK("#" &amp; CELL("address", 'V1.110+V1.110-F'!$G$4), "2-letter ISO 3166 country code")</f>
        <v>2-letter ISO 3166 country code</v>
      </c>
      <c r="F760" s="49" t="str">
        <f>'V1.110+V1.110-F'!$H$4</f>
        <v>[Geo]</v>
      </c>
      <c r="G760" s="53" t="str">
        <f ca="1">HYPERLINK("#" &amp; CELL("address", Concepts!$A$145), "Click here for definition")</f>
        <v>Click here for definition</v>
      </c>
    </row>
    <row r="761" spans="1:7" x14ac:dyDescent="0.2">
      <c r="A761">
        <v>760</v>
      </c>
      <c r="B761" t="s">
        <v>1538</v>
      </c>
      <c r="C761" s="53" t="str">
        <f ca="1">HYPERLINK("#" &amp; CELL("address", 'V1.110+V1.110-F'!$A$23), "V1.110-F")</f>
        <v>V1.110-F</v>
      </c>
      <c r="D761" s="53" t="str">
        <f ca="1">HYPERLINK("#" &amp; CELL("address", 'V1.110+V1.110-F'!$I$3), "Currency")</f>
        <v>Currency</v>
      </c>
      <c r="E761" s="53" t="str">
        <f ca="1">HYPERLINK("#" &amp; CELL("address", 'V1.110+V1.110-F'!$I$4), "3-letter ISO 4217 currency code")</f>
        <v>3-letter ISO 4217 currency code</v>
      </c>
      <c r="F761" s="49" t="str">
        <f>'V1.110+V1.110-F'!$J$4</f>
        <v>[Currency]</v>
      </c>
      <c r="G761" s="53" t="str">
        <f ca="1">HYPERLINK("#" &amp; CELL("address", Concepts!$A$146), "Click here for definition")</f>
        <v>Click here for definition</v>
      </c>
    </row>
    <row r="762" spans="1:7" x14ac:dyDescent="0.2">
      <c r="A762">
        <v>761</v>
      </c>
      <c r="B762" t="s">
        <v>1538</v>
      </c>
      <c r="C762" s="53" t="str">
        <f ca="1">HYPERLINK("#" &amp; CELL("address", 'V1.110+V1.110-F'!$A$23), "V1.110-F")</f>
        <v>V1.110-F</v>
      </c>
      <c r="D762" s="53" t="str">
        <f ca="1">HYPERLINK("#" &amp; CELL("address", 'V1.110+V1.110-F'!$K$3), "Metric")</f>
        <v>Metric</v>
      </c>
      <c r="E762" s="53" t="str">
        <f ca="1">HYPERLINK("#" &amp; CELL("address", 'V1.110+V1.110-F'!$K$4), "Number of transactions")</f>
        <v>Number of transactions</v>
      </c>
      <c r="F762" s="49" t="str">
        <f>'V1.110+V1.110-F'!$L$4</f>
        <v>VOLU</v>
      </c>
      <c r="G762" s="53" t="str">
        <f ca="1">HYPERLINK("#" &amp; CELL("address", Concepts!$A$147), "Click here for definition")</f>
        <v>Click here for definition</v>
      </c>
    </row>
    <row r="763" spans="1:7" x14ac:dyDescent="0.2">
      <c r="A763">
        <v>762</v>
      </c>
      <c r="B763" t="s">
        <v>1538</v>
      </c>
      <c r="C763" s="53" t="str">
        <f ca="1">HYPERLINK("#" &amp; CELL("address", 'V1.110+V1.110-F'!$A$23), "V1.110-F")</f>
        <v>V1.110-F</v>
      </c>
      <c r="D763" s="53" t="str">
        <f ca="1">HYPERLINK("#" &amp; CELL("address", 'V1.110+V1.110-F'!$K$3), "Metric")</f>
        <v>Metric</v>
      </c>
      <c r="E763" s="53" t="str">
        <f ca="1">HYPERLINK("#" &amp; CELL("address", 'V1.110+V1.110-F'!$K$5), "Value of transactions")</f>
        <v>Value of transactions</v>
      </c>
      <c r="F763" s="49" t="str">
        <f>'V1.110+V1.110-F'!$L$5</f>
        <v>VALE</v>
      </c>
      <c r="G763" s="53" t="str">
        <f ca="1">HYPERLINK("#" &amp; CELL("address", Concepts!$A$148), "Click here for definition")</f>
        <v>Click here for definition</v>
      </c>
    </row>
    <row r="764" spans="1:7" x14ac:dyDescent="0.2">
      <c r="A764">
        <v>763</v>
      </c>
      <c r="B764" t="s">
        <v>1466</v>
      </c>
      <c r="C764" s="53" t="str">
        <f ca="1">HYPERLINK("#" &amp; CELL("address", 'V1.200'!$A$2), "V1.200")</f>
        <v>V1.200</v>
      </c>
      <c r="D764" s="53" t="str">
        <f ca="1">HYPERLINK("#" &amp; CELL("address", 'V1.200'!$A$3), "Payment card type")</f>
        <v>Payment card type</v>
      </c>
      <c r="E764" s="53" t="str">
        <f ca="1">HYPERLINK("#" &amp; CELL("address", 'V1.200'!$A$4), "Debit card")</f>
        <v>Debit card</v>
      </c>
      <c r="F764" s="49" t="str">
        <f>'V1.200'!$B$4</f>
        <v>DECA</v>
      </c>
      <c r="G764" s="53" t="str">
        <f ca="1">HYPERLINK("#" &amp; CELL("address", Concepts!$A$95), "Click here for definition")</f>
        <v>Click here for definition</v>
      </c>
    </row>
    <row r="765" spans="1:7" x14ac:dyDescent="0.2">
      <c r="A765">
        <v>764</v>
      </c>
      <c r="B765" t="s">
        <v>1466</v>
      </c>
      <c r="C765" s="53" t="str">
        <f ca="1">HYPERLINK("#" &amp; CELL("address", 'V1.200'!$A$2), "V1.200")</f>
        <v>V1.200</v>
      </c>
      <c r="D765" s="53" t="str">
        <f ca="1">HYPERLINK("#" &amp; CELL("address", 'V1.200'!$A$3), "Payment card type")</f>
        <v>Payment card type</v>
      </c>
      <c r="E765" s="53" t="str">
        <f ca="1">HYPERLINK("#" &amp; CELL("address", 'V1.200'!$A$5), "Delayed debit card")</f>
        <v>Delayed debit card</v>
      </c>
      <c r="F765" s="49" t="str">
        <f>'V1.200'!$B$5</f>
        <v>DDCA</v>
      </c>
      <c r="G765" s="53" t="str">
        <f ca="1">HYPERLINK("#" &amp; CELL("address", Concepts!$A$96), "Click here for definition")</f>
        <v>Click here for definition</v>
      </c>
    </row>
    <row r="766" spans="1:7" x14ac:dyDescent="0.2">
      <c r="A766">
        <v>765</v>
      </c>
      <c r="B766" t="s">
        <v>1466</v>
      </c>
      <c r="C766" s="53" t="str">
        <f ca="1">HYPERLINK("#" &amp; CELL("address", 'V1.200'!$A$2), "V1.200")</f>
        <v>V1.200</v>
      </c>
      <c r="D766" s="53" t="str">
        <f ca="1">HYPERLINK("#" &amp; CELL("address", 'V1.200'!$A$3), "Payment card type")</f>
        <v>Payment card type</v>
      </c>
      <c r="E766" s="53" t="str">
        <f ca="1">HYPERLINK("#" &amp; CELL("address", 'V1.200'!$A$6), "Credit card")</f>
        <v>Credit card</v>
      </c>
      <c r="F766" s="49" t="str">
        <f>'V1.200'!$B$6</f>
        <v>CRCA</v>
      </c>
      <c r="G766" s="53" t="str">
        <f ca="1">HYPERLINK("#" &amp; CELL("address", Concepts!$A$97), "Click here for definition")</f>
        <v>Click here for definition</v>
      </c>
    </row>
    <row r="767" spans="1:7" x14ac:dyDescent="0.2">
      <c r="A767">
        <v>766</v>
      </c>
      <c r="B767" t="s">
        <v>1466</v>
      </c>
      <c r="C767" s="53" t="str">
        <f ca="1">HYPERLINK("#" &amp; CELL("address", 'V1.200'!$A$2), "V1.200")</f>
        <v>V1.200</v>
      </c>
      <c r="D767" s="53" t="str">
        <f ca="1">HYPERLINK("#" &amp; CELL("address", 'V1.200'!$A$3), "Payment card type")</f>
        <v>Payment card type</v>
      </c>
      <c r="E767" s="53" t="str">
        <f ca="1">HYPERLINK("#" &amp; CELL("address", 'V1.200'!$A$7), "Mixed card (debit+credit)")</f>
        <v>Mixed card (debit+credit)</v>
      </c>
      <c r="F767" s="49" t="str">
        <f>'V1.200'!$B$7</f>
        <v>MXCA</v>
      </c>
      <c r="G767" s="53" t="str">
        <f ca="1">HYPERLINK("#" &amp; CELL("address", Concepts!$A$98), "Click here for definition")</f>
        <v>Click here for definition</v>
      </c>
    </row>
    <row r="768" spans="1:7" x14ac:dyDescent="0.2">
      <c r="A768">
        <v>767</v>
      </c>
      <c r="B768" t="s">
        <v>1466</v>
      </c>
      <c r="C768" s="53" t="str">
        <f ca="1">HYPERLINK("#" &amp; CELL("address", 'V1.200'!$A$2), "V1.200")</f>
        <v>V1.200</v>
      </c>
      <c r="D768" s="53" t="str">
        <f ca="1">HYPERLINK("#" &amp; CELL("address", 'V1.200'!$A$3), "Payment card type")</f>
        <v>Payment card type</v>
      </c>
      <c r="E768" s="53" t="str">
        <f ca="1">HYPERLINK("#" &amp; CELL("address", 'V1.200'!$A$8), "Prepaid card")</f>
        <v>Prepaid card</v>
      </c>
      <c r="F768" s="49" t="str">
        <f>'V1.200'!$B$8</f>
        <v>PRCA</v>
      </c>
      <c r="G768" s="53" t="str">
        <f ca="1">HYPERLINK("#" &amp; CELL("address", Concepts!$A$99), "Click here for definition")</f>
        <v>Click here for definition</v>
      </c>
    </row>
    <row r="769" spans="1:7" x14ac:dyDescent="0.2">
      <c r="A769">
        <v>768</v>
      </c>
      <c r="B769" t="s">
        <v>1466</v>
      </c>
      <c r="C769" s="53" t="str">
        <f ca="1">HYPERLINK("#" &amp; CELL("address", 'V1.200'!$A$2), "V1.200")</f>
        <v>V1.200</v>
      </c>
      <c r="D769" s="53" t="str">
        <f ca="1">HYPERLINK("#" &amp; CELL("address", 'V1.200'!$A$3), "Payment card type")</f>
        <v>Payment card type</v>
      </c>
      <c r="E769" s="53" t="str">
        <f ca="1">HYPERLINK("#" &amp; CELL("address", 'V1.200'!$A$10), "Cards which give access to e-money stored on a software based e-money account")</f>
        <v>Cards which give access to e-money stored on a software based e-money account</v>
      </c>
      <c r="F769" s="49" t="str">
        <f>'V1.200'!$B$10</f>
        <v>E1CA</v>
      </c>
      <c r="G769" s="53" t="str">
        <f ca="1">HYPERLINK("#" &amp; CELL("address", Concepts!$A$182), "Click here for definition")</f>
        <v>Click here for definition</v>
      </c>
    </row>
    <row r="770" spans="1:7" x14ac:dyDescent="0.2">
      <c r="A770">
        <v>769</v>
      </c>
      <c r="B770" t="s">
        <v>1466</v>
      </c>
      <c r="C770" s="53" t="str">
        <f ca="1">HYPERLINK("#" &amp; CELL("address", 'V1.200'!$A$2), "V1.200")</f>
        <v>V1.200</v>
      </c>
      <c r="D770" s="53" t="str">
        <f ca="1">HYPERLINK("#" &amp; CELL("address", 'V1.200'!$A$3), "Payment card type")</f>
        <v>Payment card type</v>
      </c>
      <c r="E770" s="53" t="str">
        <f ca="1">HYPERLINK("#" &amp; CELL("address", 'V1.200'!$A$11), "Cards on which e-money can be stored directly, of which:")</f>
        <v>Cards on which e-money can be stored directly, of which:</v>
      </c>
      <c r="F770" s="49" t="str">
        <f>'V1.200'!$B$11</f>
        <v>E2CA</v>
      </c>
      <c r="G770" s="53" t="str">
        <f ca="1">HYPERLINK("#" &amp; CELL("address", Concepts!$A$183), "Click here for definition")</f>
        <v>Click here for definition</v>
      </c>
    </row>
    <row r="771" spans="1:7" x14ac:dyDescent="0.2">
      <c r="A771">
        <v>770</v>
      </c>
      <c r="B771" t="s">
        <v>1466</v>
      </c>
      <c r="C771" s="53" t="str">
        <f ca="1">HYPERLINK("#" &amp; CELL("address", 'V1.200'!$A$2), "V1.200")</f>
        <v>V1.200</v>
      </c>
      <c r="D771" s="53" t="str">
        <f ca="1">HYPERLINK("#" &amp; CELL("address", 'V1.200'!$A$3), "Payment card type")</f>
        <v>Payment card type</v>
      </c>
      <c r="E771" s="53" t="str">
        <f ca="1">HYPERLINK("#" &amp; CELL("address", 'V1.200'!$A$12), "Cards on which e-money can be stored directly and have been loaded at least once")</f>
        <v>Cards on which e-money can be stored directly and have been loaded at least once</v>
      </c>
      <c r="F771" s="49" t="str">
        <f>'V1.200'!$B$12</f>
        <v>E2CS</v>
      </c>
      <c r="G771" s="53" t="str">
        <f ca="1">HYPERLINK("#" &amp; CELL("address", Concepts!$A$184), "Click here for definition")</f>
        <v>Click here for definition</v>
      </c>
    </row>
    <row r="772" spans="1:7" x14ac:dyDescent="0.2">
      <c r="A772">
        <v>771</v>
      </c>
      <c r="B772" t="s">
        <v>1466</v>
      </c>
      <c r="C772" s="53" t="str">
        <f ca="1">HYPERLINK("#" &amp; CELL("address", 'V1.200'!$A$2), "V1.200")</f>
        <v>V1.200</v>
      </c>
      <c r="D772" s="53" t="str">
        <f ca="1">HYPERLINK("#" &amp; CELL("address", 'V1.200'!$A$3), "Payment card type")</f>
        <v>Payment card type</v>
      </c>
      <c r="E772" s="53" t="str">
        <f ca="1">HYPERLINK("#" &amp; CELL("address", 'V1.200'!$A$13), "Other")</f>
        <v>Other</v>
      </c>
      <c r="F772" s="49" t="str">
        <f>'V1.200'!$B$13</f>
        <v>OTHR</v>
      </c>
      <c r="G772" s="53" t="str">
        <f ca="1">HYPERLINK("#" &amp; CELL("address", Concepts!$A$101), "Click here for definition")</f>
        <v>Click here for definition</v>
      </c>
    </row>
    <row r="773" spans="1:7" x14ac:dyDescent="0.2">
      <c r="A773">
        <v>772</v>
      </c>
      <c r="B773" t="s">
        <v>1466</v>
      </c>
      <c r="C773" s="53" t="str">
        <f ca="1">HYPERLINK("#" &amp; CELL("address", 'V1.200'!$A$2), "V1.200")</f>
        <v>V1.200</v>
      </c>
      <c r="D773" s="53" t="str">
        <f ca="1">HYPERLINK("#" &amp; CELL("address", 'V1.200'!$C$3), "Payment card scheme")</f>
        <v>Payment card scheme</v>
      </c>
      <c r="E773" s="53" t="str">
        <f ca="1">HYPERLINK("#" &amp; CELL("address", 'V1.200'!$C$4), "Mastercard")</f>
        <v>Mastercard</v>
      </c>
      <c r="F773" s="49" t="str">
        <f>'V1.200'!$D$4</f>
        <v>MSTR</v>
      </c>
      <c r="G773" s="53"/>
    </row>
    <row r="774" spans="1:7" x14ac:dyDescent="0.2">
      <c r="A774">
        <v>773</v>
      </c>
      <c r="B774" t="s">
        <v>1466</v>
      </c>
      <c r="C774" s="53" t="str">
        <f ca="1">HYPERLINK("#" &amp; CELL("address", 'V1.200'!$A$2), "V1.200")</f>
        <v>V1.200</v>
      </c>
      <c r="D774" s="53" t="str">
        <f ca="1">HYPERLINK("#" &amp; CELL("address", 'V1.200'!$C$3), "Payment card scheme")</f>
        <v>Payment card scheme</v>
      </c>
      <c r="E774" s="53" t="str">
        <f ca="1">HYPERLINK("#" &amp; CELL("address", 'V1.200'!$C$5), "VISA - Vpay")</f>
        <v>VISA - Vpay</v>
      </c>
      <c r="F774" s="49" t="str">
        <f>'V1.200'!$D$5</f>
        <v>VPAY</v>
      </c>
      <c r="G774" s="53"/>
    </row>
    <row r="775" spans="1:7" x14ac:dyDescent="0.2">
      <c r="A775">
        <v>774</v>
      </c>
      <c r="B775" t="s">
        <v>1466</v>
      </c>
      <c r="C775" s="53" t="str">
        <f ca="1">HYPERLINK("#" &amp; CELL("address", 'V1.200'!$A$2), "V1.200")</f>
        <v>V1.200</v>
      </c>
      <c r="D775" s="53" t="str">
        <f ca="1">HYPERLINK("#" &amp; CELL("address", 'V1.200'!$C$3), "Payment card scheme")</f>
        <v>Payment card scheme</v>
      </c>
      <c r="E775" s="53" t="str">
        <f ca="1">HYPERLINK("#" &amp; CELL("address", 'V1.200'!$C$6), "VISA")</f>
        <v>VISA</v>
      </c>
      <c r="F775" s="49" t="str">
        <f>'V1.200'!$D$6</f>
        <v>VISA</v>
      </c>
      <c r="G775" s="53"/>
    </row>
    <row r="776" spans="1:7" x14ac:dyDescent="0.2">
      <c r="A776">
        <v>775</v>
      </c>
      <c r="B776" t="s">
        <v>1466</v>
      </c>
      <c r="C776" s="53" t="str">
        <f ca="1">HYPERLINK("#" &amp; CELL("address", 'V1.200'!$A$2), "V1.200")</f>
        <v>V1.200</v>
      </c>
      <c r="D776" s="53" t="str">
        <f ca="1">HYPERLINK("#" &amp; CELL("address", 'V1.200'!$C$3), "Payment card scheme")</f>
        <v>Payment card scheme</v>
      </c>
      <c r="E776" s="53" t="str">
        <f ca="1">HYPERLINK("#" &amp; CELL("address", 'V1.200'!$C$7), "China UnionPay")</f>
        <v>China UnionPay</v>
      </c>
      <c r="F776" s="49" t="str">
        <f>'V1.200'!$D$7</f>
        <v>CHUP</v>
      </c>
      <c r="G776" s="53"/>
    </row>
    <row r="777" spans="1:7" x14ac:dyDescent="0.2">
      <c r="A777">
        <v>776</v>
      </c>
      <c r="B777" t="s">
        <v>1466</v>
      </c>
      <c r="C777" s="53" t="str">
        <f ca="1">HYPERLINK("#" &amp; CELL("address", 'V1.200'!$A$2), "V1.200")</f>
        <v>V1.200</v>
      </c>
      <c r="D777" s="53" t="str">
        <f ca="1">HYPERLINK("#" &amp; CELL("address", 'V1.200'!$C$3), "Payment card scheme")</f>
        <v>Payment card scheme</v>
      </c>
      <c r="E777" s="53" t="str">
        <f ca="1">HYPERLINK("#" &amp; CELL("address", 'V1.200'!$C$8), "Japan Credit Bureau (JCB)")</f>
        <v>Japan Credit Bureau (JCB)</v>
      </c>
      <c r="F777" s="49" t="str">
        <f>'V1.200'!$D$8</f>
        <v>JCCB</v>
      </c>
      <c r="G777" s="53"/>
    </row>
    <row r="778" spans="1:7" x14ac:dyDescent="0.2">
      <c r="A778">
        <v>777</v>
      </c>
      <c r="B778" t="s">
        <v>1466</v>
      </c>
      <c r="C778" s="53" t="str">
        <f ca="1">HYPERLINK("#" &amp; CELL("address", 'V1.200'!$A$2), "V1.200")</f>
        <v>V1.200</v>
      </c>
      <c r="D778" s="53" t="str">
        <f ca="1">HYPERLINK("#" &amp; CELL("address", 'V1.200'!$C$3), "Payment card scheme")</f>
        <v>Payment card scheme</v>
      </c>
      <c r="E778" s="53" t="str">
        <f ca="1">HYPERLINK("#" &amp; CELL("address", 'V1.200'!$C$9), "American Express")</f>
        <v>American Express</v>
      </c>
      <c r="F778" s="49" t="str">
        <f>'V1.200'!$D$9</f>
        <v>AMEX</v>
      </c>
      <c r="G778" s="53"/>
    </row>
    <row r="779" spans="1:7" x14ac:dyDescent="0.2">
      <c r="A779">
        <v>778</v>
      </c>
      <c r="B779" t="s">
        <v>1466</v>
      </c>
      <c r="C779" s="53" t="str">
        <f ca="1">HYPERLINK("#" &amp; CELL("address", 'V1.200'!$A$2), "V1.200")</f>
        <v>V1.200</v>
      </c>
      <c r="D779" s="53" t="str">
        <f ca="1">HYPERLINK("#" &amp; CELL("address", 'V1.200'!$C$3), "Payment card scheme")</f>
        <v>Payment card scheme</v>
      </c>
      <c r="E779" s="53" t="str">
        <f ca="1">HYPERLINK("#" &amp; CELL("address", 'V1.200'!$C$10), "Diner's club")</f>
        <v>Diner's club</v>
      </c>
      <c r="F779" s="49" t="str">
        <f>'V1.200'!$D$10</f>
        <v>DICL</v>
      </c>
      <c r="G779" s="53"/>
    </row>
    <row r="780" spans="1:7" x14ac:dyDescent="0.2">
      <c r="A780">
        <v>779</v>
      </c>
      <c r="B780" t="s">
        <v>1466</v>
      </c>
      <c r="C780" s="53" t="str">
        <f ca="1">HYPERLINK("#" &amp; CELL("address", 'V1.200'!$A$2), "V1.200")</f>
        <v>V1.200</v>
      </c>
      <c r="D780" s="53" t="str">
        <f ca="1">HYPERLINK("#" &amp; CELL("address", 'V1.200'!$C$3), "Payment card scheme")</f>
        <v>Payment card scheme</v>
      </c>
      <c r="E780" s="53" t="str">
        <f ca="1">HYPERLINK("#" &amp; CELL("address", 'V1.200'!$C$11), "Proprietary")</f>
        <v>Proprietary</v>
      </c>
      <c r="F780" s="49" t="str">
        <f>'V1.200'!$D$11</f>
        <v>PROP</v>
      </c>
      <c r="G780" s="53" t="str">
        <f ca="1">HYPERLINK("#" &amp; CELL("address", Concepts!$A$104), "Click here for definition")</f>
        <v>Click here for definition</v>
      </c>
    </row>
    <row r="781" spans="1:7" x14ac:dyDescent="0.2">
      <c r="A781">
        <v>780</v>
      </c>
      <c r="B781" t="s">
        <v>1466</v>
      </c>
      <c r="C781" s="53" t="str">
        <f ca="1">HYPERLINK("#" &amp; CELL("address", 'V1.200'!$A$2), "V1.200")</f>
        <v>V1.200</v>
      </c>
      <c r="D781" s="53" t="str">
        <f ca="1">HYPERLINK("#" &amp; CELL("address", 'V1.200'!$C$3), "Payment card scheme")</f>
        <v>Payment card scheme</v>
      </c>
      <c r="E781" s="53" t="str">
        <f ca="1">HYPERLINK("#" &amp; CELL("address", 'V1.200'!$C$12), "Other")</f>
        <v>Other</v>
      </c>
      <c r="F781" s="49" t="str">
        <f>'V1.200'!$D$12</f>
        <v>OTHR</v>
      </c>
      <c r="G781" s="53"/>
    </row>
    <row r="782" spans="1:7" x14ac:dyDescent="0.2">
      <c r="A782">
        <v>781</v>
      </c>
      <c r="B782" t="s">
        <v>1466</v>
      </c>
      <c r="C782" s="53" t="str">
        <f ca="1">HYPERLINK("#" &amp; CELL("address", 'V1.200'!$A$2), "V1.200")</f>
        <v>V1.200</v>
      </c>
      <c r="D782" s="53" t="str">
        <f ca="1">HYPERLINK("#" &amp; CELL("address", 'V1.200'!$E$3), "Contactless function")</f>
        <v>Contactless function</v>
      </c>
      <c r="E782" s="53" t="str">
        <f ca="1">HYPERLINK("#" &amp; CELL("address", 'V1.200'!$E$4), "Card with a contactless function")</f>
        <v>Card with a contactless function</v>
      </c>
      <c r="F782" s="49" t="str">
        <f>'V1.200'!$F$4</f>
        <v>CLS1</v>
      </c>
      <c r="G782" s="53" t="str">
        <f ca="1">HYPERLINK("#" &amp; CELL("address", Concepts!$A$185), "Click here for definition")</f>
        <v>Click here for definition</v>
      </c>
    </row>
    <row r="783" spans="1:7" x14ac:dyDescent="0.2">
      <c r="A783">
        <v>782</v>
      </c>
      <c r="B783" t="s">
        <v>1466</v>
      </c>
      <c r="C783" s="53" t="str">
        <f ca="1">HYPERLINK("#" &amp; CELL("address", 'V1.200'!$A$2), "V1.200")</f>
        <v>V1.200</v>
      </c>
      <c r="D783" s="53" t="str">
        <f ca="1">HYPERLINK("#" &amp; CELL("address", 'V1.200'!$E$3), "Contactless function")</f>
        <v>Contactless function</v>
      </c>
      <c r="E783" s="53" t="str">
        <f ca="1">HYPERLINK("#" &amp; CELL("address", 'V1.200'!$E$5), "Card without a contactless function")</f>
        <v>Card without a contactless function</v>
      </c>
      <c r="F783" s="49" t="str">
        <f>'V1.200'!$F$5</f>
        <v>CLS0</v>
      </c>
      <c r="G783" s="53" t="str">
        <f ca="1">HYPERLINK("#" &amp; CELL("address", Concepts!$A$186), "Click here for definition")</f>
        <v>Click here for definition</v>
      </c>
    </row>
    <row r="784" spans="1:7" x14ac:dyDescent="0.2">
      <c r="A784">
        <v>783</v>
      </c>
      <c r="B784" t="s">
        <v>1466</v>
      </c>
      <c r="C784" s="53" t="str">
        <f ca="1">HYPERLINK("#" &amp; CELL("address", 'V1.200'!$A$2), "V1.200")</f>
        <v>V1.200</v>
      </c>
      <c r="D784" s="53" t="str">
        <f ca="1">HYPERLINK("#" &amp; CELL("address", 'V1.200'!$G$3), "Country of distributor")</f>
        <v>Country of distributor</v>
      </c>
      <c r="E784" s="53" t="str">
        <f ca="1">HYPERLINK("#" &amp; CELL("address", 'V1.200'!$G$4), "2-letter ISO 3166 country code")</f>
        <v>2-letter ISO 3166 country code</v>
      </c>
      <c r="F784" s="49" t="str">
        <f>'V1.200'!$H$4</f>
        <v>[Geo]</v>
      </c>
      <c r="G784" s="53" t="str">
        <f ca="1">HYPERLINK("#" &amp; CELL("address", Concepts!$A$145), "Click here for definition")</f>
        <v>Click here for definition</v>
      </c>
    </row>
    <row r="785" spans="1:7" x14ac:dyDescent="0.2">
      <c r="A785">
        <v>784</v>
      </c>
      <c r="B785" t="s">
        <v>1466</v>
      </c>
      <c r="C785" s="53" t="str">
        <f ca="1">HYPERLINK("#" &amp; CELL("address", 'V1.200'!$A$2), "V1.200")</f>
        <v>V1.200</v>
      </c>
      <c r="D785" s="53" t="str">
        <f ca="1">HYPERLINK("#" &amp; CELL("address", 'V1.200'!$I$3), "Metric")</f>
        <v>Metric</v>
      </c>
      <c r="E785" s="53" t="str">
        <f ca="1">HYPERLINK("#" &amp; CELL("address", 'V1.200'!$I$4), "Number of cards for own customers")</f>
        <v>Number of cards for own customers</v>
      </c>
      <c r="F785" s="49" t="str">
        <f>'V1.200'!$J$4</f>
        <v>VOCL</v>
      </c>
      <c r="G785" s="53" t="str">
        <f ca="1">HYPERLINK("#" &amp; CELL("address", Concepts!$A$187), "Click here for definition")</f>
        <v>Click here for definition</v>
      </c>
    </row>
    <row r="786" spans="1:7" x14ac:dyDescent="0.2">
      <c r="A786">
        <v>785</v>
      </c>
      <c r="B786" t="s">
        <v>1466</v>
      </c>
      <c r="C786" s="53" t="str">
        <f ca="1">HYPERLINK("#" &amp; CELL("address", 'V1.200'!$A$2), "V1.200")</f>
        <v>V1.200</v>
      </c>
      <c r="D786" s="53" t="str">
        <f ca="1">HYPERLINK("#" &amp; CELL("address", 'V1.200'!$I$3), "Metric")</f>
        <v>Metric</v>
      </c>
      <c r="E786" s="53" t="str">
        <f ca="1">HYPERLINK("#" &amp; CELL("address", 'V1.200'!$I$5), "Number of cards issued for 3rd parties")</f>
        <v>Number of cards issued for 3rd parties</v>
      </c>
      <c r="F786" s="49" t="str">
        <f>'V1.200'!$J$5</f>
        <v>VOTI</v>
      </c>
      <c r="G786" s="53" t="str">
        <f ca="1">HYPERLINK("#" &amp; CELL("address", Concepts!$A$188), "Click here for definition")</f>
        <v>Click here for definition</v>
      </c>
    </row>
    <row r="787" spans="1:7" x14ac:dyDescent="0.2">
      <c r="A787">
        <v>786</v>
      </c>
      <c r="B787" t="s">
        <v>1466</v>
      </c>
      <c r="C787" s="53" t="str">
        <f ca="1">HYPERLINK("#" &amp; CELL("address", 'V1.200'!$A$2), "V1.200")</f>
        <v>V1.200</v>
      </c>
      <c r="D787" s="53" t="str">
        <f ca="1">HYPERLINK("#" &amp; CELL("address", 'V1.200'!$I$3), "Metric")</f>
        <v>Metric</v>
      </c>
      <c r="E787" s="53" t="str">
        <f ca="1">HYPERLINK("#" &amp; CELL("address", 'V1.200'!$I$7), "Float (balance)")</f>
        <v>Float (balance)</v>
      </c>
      <c r="F787" s="49" t="str">
        <f>'V1.200'!$J$7</f>
        <v>FLOA</v>
      </c>
      <c r="G787" s="53" t="str">
        <f ca="1">HYPERLINK("#" &amp; CELL("address", Concepts!$A$189), "Click here for definition")</f>
        <v>Click here for definition</v>
      </c>
    </row>
    <row r="788" spans="1:7" x14ac:dyDescent="0.2">
      <c r="A788">
        <v>787</v>
      </c>
      <c r="B788" t="s">
        <v>1467</v>
      </c>
      <c r="C788" s="53" t="str">
        <f ca="1">HYPERLINK("#" &amp; CELL("address", 'V1.201'!$A$2), "V1.201")</f>
        <v>V1.201</v>
      </c>
      <c r="D788" s="53" t="str">
        <f ca="1">HYPERLINK("#" &amp; CELL("address", 'V1.201'!$A$3), "Payment card type")</f>
        <v>Payment card type</v>
      </c>
      <c r="E788" s="53" t="str">
        <f ca="1">HYPERLINK("#" &amp; CELL("address", 'V1.201'!$A$4), "Debit card")</f>
        <v>Debit card</v>
      </c>
      <c r="F788" s="49" t="str">
        <f>'V1.201'!$B$4</f>
        <v>DECA</v>
      </c>
      <c r="G788" s="53" t="str">
        <f ca="1">HYPERLINK("#" &amp; CELL("address", Concepts!$A$95), "Click here for definition")</f>
        <v>Click here for definition</v>
      </c>
    </row>
    <row r="789" spans="1:7" x14ac:dyDescent="0.2">
      <c r="A789">
        <v>788</v>
      </c>
      <c r="B789" t="s">
        <v>1467</v>
      </c>
      <c r="C789" s="53" t="str">
        <f ca="1">HYPERLINK("#" &amp; CELL("address", 'V1.201'!$A$2), "V1.201")</f>
        <v>V1.201</v>
      </c>
      <c r="D789" s="53" t="str">
        <f ca="1">HYPERLINK("#" &amp; CELL("address", 'V1.201'!$A$3), "Payment card type")</f>
        <v>Payment card type</v>
      </c>
      <c r="E789" s="53" t="str">
        <f ca="1">HYPERLINK("#" &amp; CELL("address", 'V1.201'!$A$5), "Delayed debit card")</f>
        <v>Delayed debit card</v>
      </c>
      <c r="F789" s="49" t="str">
        <f>'V1.201'!$B$5</f>
        <v>DDCA</v>
      </c>
      <c r="G789" s="53" t="str">
        <f ca="1">HYPERLINK("#" &amp; CELL("address", Concepts!$A$96), "Click here for definition")</f>
        <v>Click here for definition</v>
      </c>
    </row>
    <row r="790" spans="1:7" x14ac:dyDescent="0.2">
      <c r="A790">
        <v>789</v>
      </c>
      <c r="B790" t="s">
        <v>1467</v>
      </c>
      <c r="C790" s="53" t="str">
        <f ca="1">HYPERLINK("#" &amp; CELL("address", 'V1.201'!$A$2), "V1.201")</f>
        <v>V1.201</v>
      </c>
      <c r="D790" s="53" t="str">
        <f ca="1">HYPERLINK("#" &amp; CELL("address", 'V1.201'!$A$3), "Payment card type")</f>
        <v>Payment card type</v>
      </c>
      <c r="E790" s="53" t="str">
        <f ca="1">HYPERLINK("#" &amp; CELL("address", 'V1.201'!$A$6), "Credit card")</f>
        <v>Credit card</v>
      </c>
      <c r="F790" s="49" t="str">
        <f>'V1.201'!$B$6</f>
        <v>CRCA</v>
      </c>
      <c r="G790" s="53" t="str">
        <f ca="1">HYPERLINK("#" &amp; CELL("address", Concepts!$A$97), "Click here for definition")</f>
        <v>Click here for definition</v>
      </c>
    </row>
    <row r="791" spans="1:7" x14ac:dyDescent="0.2">
      <c r="A791">
        <v>790</v>
      </c>
      <c r="B791" t="s">
        <v>1467</v>
      </c>
      <c r="C791" s="53" t="str">
        <f ca="1">HYPERLINK("#" &amp; CELL("address", 'V1.201'!$A$2), "V1.201")</f>
        <v>V1.201</v>
      </c>
      <c r="D791" s="53" t="str">
        <f ca="1">HYPERLINK("#" &amp; CELL("address", 'V1.201'!$A$3), "Payment card type")</f>
        <v>Payment card type</v>
      </c>
      <c r="E791" s="53" t="str">
        <f ca="1">HYPERLINK("#" &amp; CELL("address", 'V1.201'!$A$7), "Mixed card (debit+credit)")</f>
        <v>Mixed card (debit+credit)</v>
      </c>
      <c r="F791" s="49" t="str">
        <f>'V1.201'!$B$7</f>
        <v>MXCA</v>
      </c>
      <c r="G791" s="53" t="str">
        <f ca="1">HYPERLINK("#" &amp; CELL("address", Concepts!$A$98), "Click here for definition")</f>
        <v>Click here for definition</v>
      </c>
    </row>
    <row r="792" spans="1:7" x14ac:dyDescent="0.2">
      <c r="A792">
        <v>791</v>
      </c>
      <c r="B792" t="s">
        <v>1467</v>
      </c>
      <c r="C792" s="53" t="str">
        <f ca="1">HYPERLINK("#" &amp; CELL("address", 'V1.201'!$A$2), "V1.201")</f>
        <v>V1.201</v>
      </c>
      <c r="D792" s="53" t="str">
        <f ca="1">HYPERLINK("#" &amp; CELL("address", 'V1.201'!$A$3), "Payment card type")</f>
        <v>Payment card type</v>
      </c>
      <c r="E792" s="53" t="str">
        <f ca="1">HYPERLINK("#" &amp; CELL("address", 'V1.201'!$A$8), "Prepaid card")</f>
        <v>Prepaid card</v>
      </c>
      <c r="F792" s="49" t="str">
        <f>'V1.201'!$B$8</f>
        <v>PRCA</v>
      </c>
      <c r="G792" s="53" t="str">
        <f ca="1">HYPERLINK("#" &amp; CELL("address", Concepts!$A$99), "Click here for definition")</f>
        <v>Click here for definition</v>
      </c>
    </row>
    <row r="793" spans="1:7" x14ac:dyDescent="0.2">
      <c r="A793">
        <v>792</v>
      </c>
      <c r="B793" t="s">
        <v>1467</v>
      </c>
      <c r="C793" s="53" t="str">
        <f ca="1">HYPERLINK("#" &amp; CELL("address", 'V1.201'!$A$2), "V1.201")</f>
        <v>V1.201</v>
      </c>
      <c r="D793" s="53" t="str">
        <f ca="1">HYPERLINK("#" &amp; CELL("address", 'V1.201'!$A$3), "Payment card type")</f>
        <v>Payment card type</v>
      </c>
      <c r="E793" s="53" t="str">
        <f ca="1">HYPERLINK("#" &amp; CELL("address", 'V1.201'!$A$10), "Cards which give access to e-money stored on a software based e-money account")</f>
        <v>Cards which give access to e-money stored on a software based e-money account</v>
      </c>
      <c r="F793" s="49" t="str">
        <f>'V1.201'!$B$10</f>
        <v>E1CA</v>
      </c>
      <c r="G793" s="53" t="str">
        <f ca="1">HYPERLINK("#" &amp; CELL("address", Concepts!$A$182), "Click here for definition")</f>
        <v>Click here for definition</v>
      </c>
    </row>
    <row r="794" spans="1:7" x14ac:dyDescent="0.2">
      <c r="A794">
        <v>793</v>
      </c>
      <c r="B794" t="s">
        <v>1467</v>
      </c>
      <c r="C794" s="53" t="str">
        <f ca="1">HYPERLINK("#" &amp; CELL("address", 'V1.201'!$A$2), "V1.201")</f>
        <v>V1.201</v>
      </c>
      <c r="D794" s="53" t="str">
        <f ca="1">HYPERLINK("#" &amp; CELL("address", 'V1.201'!$A$3), "Payment card type")</f>
        <v>Payment card type</v>
      </c>
      <c r="E794" s="53" t="str">
        <f ca="1">HYPERLINK("#" &amp; CELL("address", 'V1.201'!$A$11), "Cards on which e-money can be stored directly, of which:")</f>
        <v>Cards on which e-money can be stored directly, of which:</v>
      </c>
      <c r="F794" s="49" t="str">
        <f>'V1.201'!$B$11</f>
        <v>E2CA</v>
      </c>
      <c r="G794" s="53" t="str">
        <f ca="1">HYPERLINK("#" &amp; CELL("address", Concepts!$A$183), "Click here for definition")</f>
        <v>Click here for definition</v>
      </c>
    </row>
    <row r="795" spans="1:7" x14ac:dyDescent="0.2">
      <c r="A795">
        <v>794</v>
      </c>
      <c r="B795" t="s">
        <v>1467</v>
      </c>
      <c r="C795" s="53" t="str">
        <f ca="1">HYPERLINK("#" &amp; CELL("address", 'V1.201'!$A$2), "V1.201")</f>
        <v>V1.201</v>
      </c>
      <c r="D795" s="53" t="str">
        <f ca="1">HYPERLINK("#" &amp; CELL("address", 'V1.201'!$A$3), "Payment card type")</f>
        <v>Payment card type</v>
      </c>
      <c r="E795" s="53" t="str">
        <f ca="1">HYPERLINK("#" &amp; CELL("address", 'V1.201'!$A$12), "Cards on which e-money can be stored directly and have been loaded at least once")</f>
        <v>Cards on which e-money can be stored directly and have been loaded at least once</v>
      </c>
      <c r="F795" s="49" t="str">
        <f>'V1.201'!$B$12</f>
        <v>E2CS</v>
      </c>
      <c r="G795" s="53" t="str">
        <f ca="1">HYPERLINK("#" &amp; CELL("address", Concepts!$A$184), "Click here for definition")</f>
        <v>Click here for definition</v>
      </c>
    </row>
    <row r="796" spans="1:7" x14ac:dyDescent="0.2">
      <c r="A796">
        <v>795</v>
      </c>
      <c r="B796" t="s">
        <v>1467</v>
      </c>
      <c r="C796" s="53" t="str">
        <f ca="1">HYPERLINK("#" &amp; CELL("address", 'V1.201'!$A$2), "V1.201")</f>
        <v>V1.201</v>
      </c>
      <c r="D796" s="53" t="str">
        <f ca="1">HYPERLINK("#" &amp; CELL("address", 'V1.201'!$A$3), "Payment card type")</f>
        <v>Payment card type</v>
      </c>
      <c r="E796" s="53" t="str">
        <f ca="1">HYPERLINK("#" &amp; CELL("address", 'V1.201'!$A$13), "Other")</f>
        <v>Other</v>
      </c>
      <c r="F796" s="49" t="str">
        <f>'V1.201'!$B$13</f>
        <v>OTHR</v>
      </c>
      <c r="G796" s="53" t="str">
        <f ca="1">HYPERLINK("#" &amp; CELL("address", Concepts!$A$101), "Click here for definition")</f>
        <v>Click here for definition</v>
      </c>
    </row>
    <row r="797" spans="1:7" x14ac:dyDescent="0.2">
      <c r="A797">
        <v>796</v>
      </c>
      <c r="B797" t="s">
        <v>1467</v>
      </c>
      <c r="C797" s="53" t="str">
        <f ca="1">HYPERLINK("#" &amp; CELL("address", 'V1.201'!$A$2), "V1.201")</f>
        <v>V1.201</v>
      </c>
      <c r="D797" s="53" t="str">
        <f ca="1">HYPERLINK("#" &amp; CELL("address", 'V1.201'!$C$3), "Payment card scheme")</f>
        <v>Payment card scheme</v>
      </c>
      <c r="E797" s="53" t="str">
        <f ca="1">HYPERLINK("#" &amp; CELL("address", 'V1.201'!$C$4), "Mastercard")</f>
        <v>Mastercard</v>
      </c>
      <c r="F797" s="49" t="str">
        <f>'V1.201'!$D$4</f>
        <v>MSTR</v>
      </c>
      <c r="G797" s="53"/>
    </row>
    <row r="798" spans="1:7" x14ac:dyDescent="0.2">
      <c r="A798">
        <v>797</v>
      </c>
      <c r="B798" t="s">
        <v>1467</v>
      </c>
      <c r="C798" s="53" t="str">
        <f ca="1">HYPERLINK("#" &amp; CELL("address", 'V1.201'!$A$2), "V1.201")</f>
        <v>V1.201</v>
      </c>
      <c r="D798" s="53" t="str">
        <f ca="1">HYPERLINK("#" &amp; CELL("address", 'V1.201'!$C$3), "Payment card scheme")</f>
        <v>Payment card scheme</v>
      </c>
      <c r="E798" s="53" t="str">
        <f ca="1">HYPERLINK("#" &amp; CELL("address", 'V1.201'!$C$5), "VISA - Vpay")</f>
        <v>VISA - Vpay</v>
      </c>
      <c r="F798" s="49" t="str">
        <f>'V1.201'!$D$5</f>
        <v>VPAY</v>
      </c>
      <c r="G798" s="53"/>
    </row>
    <row r="799" spans="1:7" x14ac:dyDescent="0.2">
      <c r="A799">
        <v>798</v>
      </c>
      <c r="B799" t="s">
        <v>1467</v>
      </c>
      <c r="C799" s="53" t="str">
        <f ca="1">HYPERLINK("#" &amp; CELL("address", 'V1.201'!$A$2), "V1.201")</f>
        <v>V1.201</v>
      </c>
      <c r="D799" s="53" t="str">
        <f ca="1">HYPERLINK("#" &amp; CELL("address", 'V1.201'!$C$3), "Payment card scheme")</f>
        <v>Payment card scheme</v>
      </c>
      <c r="E799" s="53" t="str">
        <f ca="1">HYPERLINK("#" &amp; CELL("address", 'V1.201'!$C$6), "VISA")</f>
        <v>VISA</v>
      </c>
      <c r="F799" s="49" t="str">
        <f>'V1.201'!$D$6</f>
        <v>VISA</v>
      </c>
      <c r="G799" s="53"/>
    </row>
    <row r="800" spans="1:7" x14ac:dyDescent="0.2">
      <c r="A800">
        <v>799</v>
      </c>
      <c r="B800" t="s">
        <v>1467</v>
      </c>
      <c r="C800" s="53" t="str">
        <f ca="1">HYPERLINK("#" &amp; CELL("address", 'V1.201'!$A$2), "V1.201")</f>
        <v>V1.201</v>
      </c>
      <c r="D800" s="53" t="str">
        <f ca="1">HYPERLINK("#" &amp; CELL("address", 'V1.201'!$C$3), "Payment card scheme")</f>
        <v>Payment card scheme</v>
      </c>
      <c r="E800" s="53" t="str">
        <f ca="1">HYPERLINK("#" &amp; CELL("address", 'V1.201'!$C$7), "China UnionPay")</f>
        <v>China UnionPay</v>
      </c>
      <c r="F800" s="49" t="str">
        <f>'V1.201'!$D$7</f>
        <v>CHUP</v>
      </c>
      <c r="G800" s="53"/>
    </row>
    <row r="801" spans="1:7" x14ac:dyDescent="0.2">
      <c r="A801">
        <v>800</v>
      </c>
      <c r="B801" t="s">
        <v>1467</v>
      </c>
      <c r="C801" s="53" t="str">
        <f ca="1">HYPERLINK("#" &amp; CELL("address", 'V1.201'!$A$2), "V1.201")</f>
        <v>V1.201</v>
      </c>
      <c r="D801" s="53" t="str">
        <f ca="1">HYPERLINK("#" &amp; CELL("address", 'V1.201'!$C$3), "Payment card scheme")</f>
        <v>Payment card scheme</v>
      </c>
      <c r="E801" s="53" t="str">
        <f ca="1">HYPERLINK("#" &amp; CELL("address", 'V1.201'!$C$8), "Japan Credit Bureau (JCB)")</f>
        <v>Japan Credit Bureau (JCB)</v>
      </c>
      <c r="F801" s="49" t="str">
        <f>'V1.201'!$D$8</f>
        <v>JCCB</v>
      </c>
      <c r="G801" s="53"/>
    </row>
    <row r="802" spans="1:7" x14ac:dyDescent="0.2">
      <c r="A802">
        <v>801</v>
      </c>
      <c r="B802" t="s">
        <v>1467</v>
      </c>
      <c r="C802" s="53" t="str">
        <f ca="1">HYPERLINK("#" &amp; CELL("address", 'V1.201'!$A$2), "V1.201")</f>
        <v>V1.201</v>
      </c>
      <c r="D802" s="53" t="str">
        <f ca="1">HYPERLINK("#" &amp; CELL("address", 'V1.201'!$C$3), "Payment card scheme")</f>
        <v>Payment card scheme</v>
      </c>
      <c r="E802" s="53" t="str">
        <f ca="1">HYPERLINK("#" &amp; CELL("address", 'V1.201'!$C$9), "American Express")</f>
        <v>American Express</v>
      </c>
      <c r="F802" s="49" t="str">
        <f>'V1.201'!$D$9</f>
        <v>AMEX</v>
      </c>
      <c r="G802" s="53"/>
    </row>
    <row r="803" spans="1:7" x14ac:dyDescent="0.2">
      <c r="A803">
        <v>802</v>
      </c>
      <c r="B803" t="s">
        <v>1467</v>
      </c>
      <c r="C803" s="53" t="str">
        <f ca="1">HYPERLINK("#" &amp; CELL("address", 'V1.201'!$A$2), "V1.201")</f>
        <v>V1.201</v>
      </c>
      <c r="D803" s="53" t="str">
        <f ca="1">HYPERLINK("#" &amp; CELL("address", 'V1.201'!$C$3), "Payment card scheme")</f>
        <v>Payment card scheme</v>
      </c>
      <c r="E803" s="53" t="str">
        <f ca="1">HYPERLINK("#" &amp; CELL("address", 'V1.201'!$C$10), "Diner's club")</f>
        <v>Diner's club</v>
      </c>
      <c r="F803" s="49" t="str">
        <f>'V1.201'!$D$10</f>
        <v>DICL</v>
      </c>
      <c r="G803" s="53"/>
    </row>
    <row r="804" spans="1:7" x14ac:dyDescent="0.2">
      <c r="A804">
        <v>803</v>
      </c>
      <c r="B804" t="s">
        <v>1467</v>
      </c>
      <c r="C804" s="53" t="str">
        <f ca="1">HYPERLINK("#" &amp; CELL("address", 'V1.201'!$A$2), "V1.201")</f>
        <v>V1.201</v>
      </c>
      <c r="D804" s="53" t="str">
        <f ca="1">HYPERLINK("#" &amp; CELL("address", 'V1.201'!$C$3), "Payment card scheme")</f>
        <v>Payment card scheme</v>
      </c>
      <c r="E804" s="53" t="str">
        <f ca="1">HYPERLINK("#" &amp; CELL("address", 'V1.201'!$C$11), "Proprietary")</f>
        <v>Proprietary</v>
      </c>
      <c r="F804" s="49" t="str">
        <f>'V1.201'!$D$11</f>
        <v>PROP</v>
      </c>
      <c r="G804" s="53" t="str">
        <f ca="1">HYPERLINK("#" &amp; CELL("address", Concepts!$A$104), "Click here for definition")</f>
        <v>Click here for definition</v>
      </c>
    </row>
    <row r="805" spans="1:7" x14ac:dyDescent="0.2">
      <c r="A805">
        <v>804</v>
      </c>
      <c r="B805" t="s">
        <v>1467</v>
      </c>
      <c r="C805" s="53" t="str">
        <f ca="1">HYPERLINK("#" &amp; CELL("address", 'V1.201'!$A$2), "V1.201")</f>
        <v>V1.201</v>
      </c>
      <c r="D805" s="53" t="str">
        <f ca="1">HYPERLINK("#" &amp; CELL("address", 'V1.201'!$C$3), "Payment card scheme")</f>
        <v>Payment card scheme</v>
      </c>
      <c r="E805" s="53" t="str">
        <f ca="1">HYPERLINK("#" &amp; CELL("address", 'V1.201'!$C$12), "Other")</f>
        <v>Other</v>
      </c>
      <c r="F805" s="49" t="str">
        <f>'V1.201'!$D$12</f>
        <v>OTHR</v>
      </c>
      <c r="G805" s="53"/>
    </row>
    <row r="806" spans="1:7" x14ac:dyDescent="0.2">
      <c r="A806">
        <v>805</v>
      </c>
      <c r="B806" t="s">
        <v>1467</v>
      </c>
      <c r="C806" s="53" t="str">
        <f ca="1">HYPERLINK("#" &amp; CELL("address", 'V1.201'!$A$2), "V1.201")</f>
        <v>V1.201</v>
      </c>
      <c r="D806" s="53" t="str">
        <f ca="1">HYPERLINK("#" &amp; CELL("address", 'V1.201'!$E$3), "Contactless function")</f>
        <v>Contactless function</v>
      </c>
      <c r="E806" s="53" t="str">
        <f ca="1">HYPERLINK("#" &amp; CELL("address", 'V1.201'!$E$4), "Card with a contactless function")</f>
        <v>Card with a contactless function</v>
      </c>
      <c r="F806" s="49" t="str">
        <f>'V1.201'!$F$4</f>
        <v>CLS1</v>
      </c>
      <c r="G806" s="53" t="str">
        <f ca="1">HYPERLINK("#" &amp; CELL("address", Concepts!$A$185), "Click here for definition")</f>
        <v>Click here for definition</v>
      </c>
    </row>
    <row r="807" spans="1:7" x14ac:dyDescent="0.2">
      <c r="A807">
        <v>806</v>
      </c>
      <c r="B807" t="s">
        <v>1467</v>
      </c>
      <c r="C807" s="53" t="str">
        <f ca="1">HYPERLINK("#" &amp; CELL("address", 'V1.201'!$A$2), "V1.201")</f>
        <v>V1.201</v>
      </c>
      <c r="D807" s="53" t="str">
        <f ca="1">HYPERLINK("#" &amp; CELL("address", 'V1.201'!$E$3), "Contactless function")</f>
        <v>Contactless function</v>
      </c>
      <c r="E807" s="53" t="str">
        <f ca="1">HYPERLINK("#" &amp; CELL("address", 'V1.201'!$E$5), "Card without a contactless function")</f>
        <v>Card without a contactless function</v>
      </c>
      <c r="F807" s="49" t="str">
        <f>'V1.201'!$F$5</f>
        <v>CLS0</v>
      </c>
      <c r="G807" s="53" t="str">
        <f ca="1">HYPERLINK("#" &amp; CELL("address", Concepts!$A$186), "Click here for definition")</f>
        <v>Click here for definition</v>
      </c>
    </row>
    <row r="808" spans="1:7" x14ac:dyDescent="0.2">
      <c r="A808">
        <v>807</v>
      </c>
      <c r="B808" t="s">
        <v>1467</v>
      </c>
      <c r="C808" s="53" t="str">
        <f ca="1">HYPERLINK("#" &amp; CELL("address", 'V1.201'!$A$2), "V1.201")</f>
        <v>V1.201</v>
      </c>
      <c r="D808" s="53" t="str">
        <f ca="1">HYPERLINK("#" &amp; CELL("address", 'V1.201'!$G$3), "Country of issuer")</f>
        <v>Country of issuer</v>
      </c>
      <c r="E808" s="53" t="str">
        <f ca="1">HYPERLINK("#" &amp; CELL("address", 'V1.201'!$G$4), "2-letter ISO 3166 country code")</f>
        <v>2-letter ISO 3166 country code</v>
      </c>
      <c r="F808" s="49" t="str">
        <f>'V1.201'!$H$4</f>
        <v>[Geo]</v>
      </c>
      <c r="G808" s="53" t="str">
        <f ca="1">HYPERLINK("#" &amp; CELL("address", Concepts!$A$145), "Click here for definition")</f>
        <v>Click here for definition</v>
      </c>
    </row>
    <row r="809" spans="1:7" x14ac:dyDescent="0.2">
      <c r="A809">
        <v>808</v>
      </c>
      <c r="B809" t="s">
        <v>1467</v>
      </c>
      <c r="C809" s="53" t="str">
        <f ca="1">HYPERLINK("#" &amp; CELL("address", 'V1.201'!$A$2), "V1.201")</f>
        <v>V1.201</v>
      </c>
      <c r="D809" s="53" t="str">
        <f ca="1">HYPERLINK("#" &amp; CELL("address", 'V1.201'!$I$3), "Metric")</f>
        <v>Metric</v>
      </c>
      <c r="E809" s="53" t="str">
        <f ca="1">HYPERLINK("#" &amp; CELL("address", 'V1.201'!$I$4), "Number of cards for own customers")</f>
        <v>Number of cards for own customers</v>
      </c>
      <c r="F809" s="49" t="str">
        <f>'V1.201'!$J$4</f>
        <v>VOCL</v>
      </c>
      <c r="G809" s="53" t="str">
        <f ca="1">HYPERLINK("#" &amp; CELL("address", Concepts!$A$187), "Click here for definition")</f>
        <v>Click here for definition</v>
      </c>
    </row>
    <row r="810" spans="1:7" x14ac:dyDescent="0.2">
      <c r="A810">
        <v>809</v>
      </c>
      <c r="B810" t="s">
        <v>1467</v>
      </c>
      <c r="C810" s="53" t="str">
        <f ca="1">HYPERLINK("#" &amp; CELL("address", 'V1.201'!$A$2), "V1.201")</f>
        <v>V1.201</v>
      </c>
      <c r="D810" s="53" t="str">
        <f ca="1">HYPERLINK("#" &amp; CELL("address", 'V1.201'!$I$3), "Metric")</f>
        <v>Metric</v>
      </c>
      <c r="E810" s="53" t="str">
        <f ca="1">HYPERLINK("#" &amp; CELL("address", 'V1.201'!$I$6), "Float (balance)")</f>
        <v>Float (balance)</v>
      </c>
      <c r="F810" s="49" t="str">
        <f>'V1.201'!$J$6</f>
        <v>FLOA</v>
      </c>
      <c r="G810" s="53" t="str">
        <f ca="1">HYPERLINK("#" &amp; CELL("address", Concepts!$A$189), "Click here for definition")</f>
        <v>Click here for definition</v>
      </c>
    </row>
    <row r="811" spans="1:7" x14ac:dyDescent="0.2">
      <c r="A811">
        <v>810</v>
      </c>
      <c r="B811" t="s">
        <v>1468</v>
      </c>
      <c r="C811" s="53" t="str">
        <f ca="1">HYPERLINK("#" &amp; CELL("address", 'V1.210'!$A$2), "V1.210")</f>
        <v>V1.210</v>
      </c>
      <c r="D811" s="53" t="str">
        <f ca="1">HYPERLINK("#" &amp; CELL("address", 'V1.210'!$A$3), "Terminal type")</f>
        <v>Terminal type</v>
      </c>
      <c r="E811" s="53" t="str">
        <f ca="1">HYPERLINK("#" &amp; CELL("address", 'V1.210'!$A$4), "ATMs, total")</f>
        <v>ATMs, total</v>
      </c>
      <c r="F811" s="49" t="str">
        <f>'V1.210'!$B$4</f>
        <v>ATOT</v>
      </c>
      <c r="G811" s="53" t="str">
        <f ca="1">HYPERLINK("#" &amp; CELL("address", Concepts!$A$190), "Click here for definition")</f>
        <v>Click here for definition</v>
      </c>
    </row>
    <row r="812" spans="1:7" x14ac:dyDescent="0.2">
      <c r="A812">
        <v>811</v>
      </c>
      <c r="B812" t="s">
        <v>1468</v>
      </c>
      <c r="C812" s="53" t="str">
        <f ca="1">HYPERLINK("#" &amp; CELL("address", 'V1.210'!$A$2), "V1.210")</f>
        <v>V1.210</v>
      </c>
      <c r="D812" s="53" t="str">
        <f ca="1">HYPERLINK("#" &amp; CELL("address", 'V1.210'!$A$3), "Terminal type")</f>
        <v>Terminal type</v>
      </c>
      <c r="E812" s="53" t="str">
        <f ca="1">HYPERLINK("#" &amp; CELL("address", 'V1.210'!$A$6), "ATM with a credit transfer function")</f>
        <v>ATM with a credit transfer function</v>
      </c>
      <c r="F812" s="49" t="str">
        <f>'V1.210'!$B$6</f>
        <v>ACTR</v>
      </c>
      <c r="G812" s="53" t="str">
        <f ca="1">HYPERLINK("#" &amp; CELL("address", Concepts!$A$191), "Click here for definition")</f>
        <v>Click here for definition</v>
      </c>
    </row>
    <row r="813" spans="1:7" x14ac:dyDescent="0.2">
      <c r="A813">
        <v>812</v>
      </c>
      <c r="B813" t="s">
        <v>1468</v>
      </c>
      <c r="C813" s="53" t="str">
        <f ca="1">HYPERLINK("#" &amp; CELL("address", 'V1.210'!$A$2), "V1.210")</f>
        <v>V1.210</v>
      </c>
      <c r="D813" s="53" t="str">
        <f ca="1">HYPERLINK("#" &amp; CELL("address", 'V1.210'!$A$3), "Terminal type")</f>
        <v>Terminal type</v>
      </c>
      <c r="E813" s="53" t="str">
        <f ca="1">HYPERLINK("#" &amp; CELL("address", 'V1.210'!$A$7), "ATM with a cash withdrawal function")</f>
        <v>ATM with a cash withdrawal function</v>
      </c>
      <c r="F813" s="49" t="str">
        <f>'V1.210'!$B$7</f>
        <v>AWIT</v>
      </c>
      <c r="G813" s="53" t="str">
        <f ca="1">HYPERLINK("#" &amp; CELL("address", Concepts!$A$192), "Click here for definition")</f>
        <v>Click here for definition</v>
      </c>
    </row>
    <row r="814" spans="1:7" x14ac:dyDescent="0.2">
      <c r="A814">
        <v>813</v>
      </c>
      <c r="B814" t="s">
        <v>1468</v>
      </c>
      <c r="C814" s="53" t="str">
        <f ca="1">HYPERLINK("#" &amp; CELL("address", 'V1.210'!$A$2), "V1.210")</f>
        <v>V1.210</v>
      </c>
      <c r="D814" s="53" t="str">
        <f ca="1">HYPERLINK("#" &amp; CELL("address", 'V1.210'!$A$3), "Terminal type")</f>
        <v>Terminal type</v>
      </c>
      <c r="E814" s="53" t="str">
        <f ca="1">HYPERLINK("#" &amp; CELL("address", 'V1.210'!$A$8), "ATM accepting contactless transactions")</f>
        <v>ATM accepting contactless transactions</v>
      </c>
      <c r="F814" s="49" t="str">
        <f>'V1.210'!$B$8</f>
        <v>ACLS</v>
      </c>
      <c r="G814" s="53" t="str">
        <f ca="1">HYPERLINK("#" &amp; CELL("address", Concepts!$A$193), "Click here for definition")</f>
        <v>Click here for definition</v>
      </c>
    </row>
    <row r="815" spans="1:7" x14ac:dyDescent="0.2">
      <c r="A815">
        <v>814</v>
      </c>
      <c r="B815" t="s">
        <v>1468</v>
      </c>
      <c r="C815" s="53" t="str">
        <f ca="1">HYPERLINK("#" &amp; CELL("address", 'V1.210'!$A$2), "V1.210")</f>
        <v>V1.210</v>
      </c>
      <c r="D815" s="53" t="str">
        <f ca="1">HYPERLINK("#" &amp; CELL("address", 'V1.210'!$A$3), "Terminal type")</f>
        <v>Terminal type</v>
      </c>
      <c r="E815" s="53" t="str">
        <f ca="1">HYPERLINK("#" &amp; CELL("address", 'V1.210'!$A$9), "ATM with a (un)loading function")</f>
        <v>ATM with a (un)loading function</v>
      </c>
      <c r="F815" s="49" t="str">
        <f>'V1.210'!$B$9</f>
        <v>APRE</v>
      </c>
      <c r="G815" s="53" t="str">
        <f ca="1">HYPERLINK("#" &amp; CELL("address", Concepts!$A$194), "Click here for definition")</f>
        <v>Click here for definition</v>
      </c>
    </row>
    <row r="816" spans="1:7" x14ac:dyDescent="0.2">
      <c r="A816">
        <v>815</v>
      </c>
      <c r="B816" t="s">
        <v>1468</v>
      </c>
      <c r="C816" s="53" t="str">
        <f ca="1">HYPERLINK("#" &amp; CELL("address", 'V1.210'!$A$2), "V1.210")</f>
        <v>V1.210</v>
      </c>
      <c r="D816" s="53" t="str">
        <f ca="1">HYPERLINK("#" &amp; CELL("address", 'V1.210'!$A$3), "Terminal type")</f>
        <v>Terminal type</v>
      </c>
      <c r="E816" s="53" t="str">
        <f ca="1">HYPERLINK("#" &amp; CELL("address", 'V1.210'!$A$11), "POS terminals, total")</f>
        <v>POS terminals, total</v>
      </c>
      <c r="F816" s="49" t="str">
        <f>'V1.210'!$B$11</f>
        <v>PTOT</v>
      </c>
      <c r="G816" s="53" t="str">
        <f ca="1">HYPERLINK("#" &amp; CELL("address", Concepts!$A$195), "Click here for definition")</f>
        <v>Click here for definition</v>
      </c>
    </row>
    <row r="817" spans="1:7" x14ac:dyDescent="0.2">
      <c r="A817">
        <v>816</v>
      </c>
      <c r="B817" t="s">
        <v>1468</v>
      </c>
      <c r="C817" s="53" t="str">
        <f ca="1">HYPERLINK("#" &amp; CELL("address", 'V1.210'!$A$2), "V1.210")</f>
        <v>V1.210</v>
      </c>
      <c r="D817" s="53" t="str">
        <f ca="1">HYPERLINK("#" &amp; CELL("address", 'V1.210'!$A$3), "Terminal type")</f>
        <v>Terminal type</v>
      </c>
      <c r="E817" s="53" t="str">
        <f ca="1">HYPERLINK("#" &amp; CELL("address", 'V1.210'!$A$13), "POS accepting contactless transactions")</f>
        <v>POS accepting contactless transactions</v>
      </c>
      <c r="F817" s="49" t="str">
        <f>'V1.210'!$B$13</f>
        <v>PCLS</v>
      </c>
      <c r="G817" s="53" t="str">
        <f ca="1">HYPERLINK("#" &amp; CELL("address", Concepts!$A$196), "Click here for definition")</f>
        <v>Click here for definition</v>
      </c>
    </row>
    <row r="818" spans="1:7" x14ac:dyDescent="0.2">
      <c r="A818">
        <v>817</v>
      </c>
      <c r="B818" t="s">
        <v>1468</v>
      </c>
      <c r="C818" s="53" t="str">
        <f ca="1">HYPERLINK("#" &amp; CELL("address", 'V1.210'!$A$2), "V1.210")</f>
        <v>V1.210</v>
      </c>
      <c r="D818" s="53" t="str">
        <f ca="1">HYPERLINK("#" &amp; CELL("address", 'V1.210'!$A$3), "Terminal type")</f>
        <v>Terminal type</v>
      </c>
      <c r="E818" s="53" t="str">
        <f ca="1">HYPERLINK("#" &amp; CELL("address", 'V1.210'!$A$14), "POS accepting e-money card transactions")</f>
        <v>POS accepting e-money card transactions</v>
      </c>
      <c r="F818" s="49" t="str">
        <f>'V1.210'!$B$14</f>
        <v>PEMO</v>
      </c>
      <c r="G818" s="53" t="str">
        <f ca="1">HYPERLINK("#" &amp; CELL("address", Concepts!$A$197), "Click here for definition")</f>
        <v>Click here for definition</v>
      </c>
    </row>
    <row r="819" spans="1:7" x14ac:dyDescent="0.2">
      <c r="A819">
        <v>818</v>
      </c>
      <c r="B819" t="s">
        <v>1468</v>
      </c>
      <c r="C819" s="53" t="str">
        <f ca="1">HYPERLINK("#" &amp; CELL("address", 'V1.210'!$A$2), "V1.210")</f>
        <v>V1.210</v>
      </c>
      <c r="D819" s="53" t="str">
        <f ca="1">HYPERLINK("#" &amp; CELL("address", 'V1.210'!$A$3), "Terminal type")</f>
        <v>Terminal type</v>
      </c>
      <c r="E819" s="53" t="str">
        <f ca="1">HYPERLINK("#" &amp; CELL("address", 'V1.210'!$A$16), "E-money card terminals, total")</f>
        <v>E-money card terminals, total</v>
      </c>
      <c r="F819" s="49" t="str">
        <f>'V1.210'!$B$16</f>
        <v>ETOT</v>
      </c>
      <c r="G819" s="53" t="str">
        <f ca="1">HYPERLINK("#" &amp; CELL("address", Concepts!$A$198), "Click here for definition")</f>
        <v>Click here for definition</v>
      </c>
    </row>
    <row r="820" spans="1:7" x14ac:dyDescent="0.2">
      <c r="A820">
        <v>819</v>
      </c>
      <c r="B820" t="s">
        <v>1468</v>
      </c>
      <c r="C820" s="53" t="str">
        <f ca="1">HYPERLINK("#" &amp; CELL("address", 'V1.210'!$A$2), "V1.210")</f>
        <v>V1.210</v>
      </c>
      <c r="D820" s="53" t="str">
        <f ca="1">HYPERLINK("#" &amp; CELL("address", 'V1.210'!$A$3), "Terminal type")</f>
        <v>Terminal type</v>
      </c>
      <c r="E820" s="53" t="str">
        <f ca="1">HYPERLINK("#" &amp; CELL("address", 'V1.210'!$A$18), "E-money card loading and unloading terminals")</f>
        <v>E-money card loading and unloading terminals</v>
      </c>
      <c r="F820" s="49" t="str">
        <f>'V1.210'!$B$18</f>
        <v>ELDN</v>
      </c>
      <c r="G820" s="53" t="str">
        <f ca="1">HYPERLINK("#" &amp; CELL("address", Concepts!$A$199), "Click here for definition")</f>
        <v>Click here for definition</v>
      </c>
    </row>
    <row r="821" spans="1:7" x14ac:dyDescent="0.2">
      <c r="A821">
        <v>820</v>
      </c>
      <c r="B821" t="s">
        <v>1468</v>
      </c>
      <c r="C821" s="53" t="str">
        <f ca="1">HYPERLINK("#" &amp; CELL("address", 'V1.210'!$A$2), "V1.210")</f>
        <v>V1.210</v>
      </c>
      <c r="D821" s="53" t="str">
        <f ca="1">HYPERLINK("#" &amp; CELL("address", 'V1.210'!$A$3), "Terminal type")</f>
        <v>Terminal type</v>
      </c>
      <c r="E821" s="53" t="str">
        <f ca="1">HYPERLINK("#" &amp; CELL("address", 'V1.210'!$A$19), "E-money card accepting terminals")</f>
        <v>E-money card accepting terminals</v>
      </c>
      <c r="F821" s="49" t="str">
        <f>'V1.210'!$B$19</f>
        <v>ETRM</v>
      </c>
      <c r="G821" s="53" t="str">
        <f ca="1">HYPERLINK("#" &amp; CELL("address", Concepts!$A$200), "Click here for definition")</f>
        <v>Click here for definition</v>
      </c>
    </row>
    <row r="822" spans="1:7" x14ac:dyDescent="0.2">
      <c r="A822">
        <v>821</v>
      </c>
      <c r="B822" t="s">
        <v>1468</v>
      </c>
      <c r="C822" s="53" t="str">
        <f ca="1">HYPERLINK("#" &amp; CELL("address", 'V1.210'!$A$2), "V1.210")</f>
        <v>V1.210</v>
      </c>
      <c r="D822" s="53" t="str">
        <f ca="1">HYPERLINK("#" &amp; CELL("address", 'V1.210'!$C$3), "Country of terminal")</f>
        <v>Country of terminal</v>
      </c>
      <c r="E822" s="53" t="str">
        <f ca="1">HYPERLINK("#" &amp; CELL("address", 'V1.210'!$C$4), "2-letter ISO 3166 country code")</f>
        <v>2-letter ISO 3166 country code</v>
      </c>
      <c r="F822" s="49" t="str">
        <f>'V1.210'!$D$4</f>
        <v>[Geo]</v>
      </c>
      <c r="G822" s="53" t="str">
        <f ca="1">HYPERLINK("#" &amp; CELL("address", Concepts!$A$145), "Click here for definition")</f>
        <v>Click here for definition</v>
      </c>
    </row>
    <row r="823" spans="1:7" x14ac:dyDescent="0.2">
      <c r="A823">
        <v>822</v>
      </c>
      <c r="B823" t="s">
        <v>1468</v>
      </c>
      <c r="C823" s="53" t="str">
        <f ca="1">HYPERLINK("#" &amp; CELL("address", 'V1.210'!$A$2), "V1.210")</f>
        <v>V1.210</v>
      </c>
      <c r="D823" s="53" t="str">
        <f ca="1">HYPERLINK("#" &amp; CELL("address", 'V1.210'!$E$3), "Metric")</f>
        <v>Metric</v>
      </c>
      <c r="E823" s="53" t="str">
        <f ca="1">HYPERLINK("#" &amp; CELL("address", 'V1.210'!$E$4), "Number of terminals")</f>
        <v>Number of terminals</v>
      </c>
      <c r="F823" s="49" t="str">
        <f>'V1.210'!$F$4</f>
        <v>VOLU</v>
      </c>
      <c r="G823" s="53" t="str">
        <f ca="1">HYPERLINK("#" &amp; CELL("address", Concepts!$A$151), "Click here for definition")</f>
        <v>Click here for definition</v>
      </c>
    </row>
    <row r="824" spans="1:7" x14ac:dyDescent="0.2">
      <c r="A824">
        <v>823</v>
      </c>
      <c r="B824" t="s">
        <v>1469</v>
      </c>
      <c r="C824" s="53" t="str">
        <f ca="1">HYPERLINK("#" &amp; CELL("address", 'V1.220'!$A$2), "V1.220")</f>
        <v>V1.220</v>
      </c>
      <c r="D824" s="53" t="str">
        <f ca="1">HYPERLINK("#" &amp; CELL("address", 'V1.220'!$A$3), "Account type")</f>
        <v>Account type</v>
      </c>
      <c r="E824" s="53" t="str">
        <f ca="1">HYPERLINK("#" &amp; CELL("address", 'V1.220'!$A$4), "Payment account")</f>
        <v>Payment account</v>
      </c>
      <c r="F824" s="49" t="str">
        <f>'V1.220'!$B$4</f>
        <v>PMAC</v>
      </c>
      <c r="G824" s="53" t="str">
        <f ca="1">HYPERLINK("#" &amp; CELL("address", Concepts!$A$202), "Click here for definition")</f>
        <v>Click here for definition</v>
      </c>
    </row>
    <row r="825" spans="1:7" x14ac:dyDescent="0.2">
      <c r="A825">
        <v>824</v>
      </c>
      <c r="B825" t="s">
        <v>1469</v>
      </c>
      <c r="C825" s="53" t="str">
        <f ca="1">HYPERLINK("#" &amp; CELL("address", 'V1.220'!$A$2), "V1.220")</f>
        <v>V1.220</v>
      </c>
      <c r="D825" s="53" t="str">
        <f ca="1">HYPERLINK("#" &amp; CELL("address", 'V1.220'!$A$3), "Account type")</f>
        <v>Account type</v>
      </c>
      <c r="E825" s="53" t="str">
        <f ca="1">HYPERLINK("#" &amp; CELL("address", 'V1.220'!$A$5), "Technical account")</f>
        <v>Technical account</v>
      </c>
      <c r="F825" s="49" t="str">
        <f>'V1.220'!$B$5</f>
        <v>TCAC</v>
      </c>
      <c r="G825" s="53" t="str">
        <f ca="1">HYPERLINK("#" &amp; CELL("address", Concepts!$A$203), "Click here for definition")</f>
        <v>Click here for definition</v>
      </c>
    </row>
    <row r="826" spans="1:7" x14ac:dyDescent="0.2">
      <c r="A826">
        <v>825</v>
      </c>
      <c r="B826" t="s">
        <v>1469</v>
      </c>
      <c r="C826" s="53" t="str">
        <f ca="1">HYPERLINK("#" &amp; CELL("address", 'V1.220'!$A$2), "V1.220")</f>
        <v>V1.220</v>
      </c>
      <c r="D826" s="53" t="str">
        <f ca="1">HYPERLINK("#" &amp; CELL("address", 'V1.220'!$C$3), "Customer category")</f>
        <v>Customer category</v>
      </c>
      <c r="E826" s="53" t="str">
        <f ca="1">HYPERLINK("#" &amp; CELL("address", 'V1.220'!$C$5), "Credit institution")</f>
        <v>Credit institution</v>
      </c>
      <c r="F826" s="49" t="str">
        <f>'V1.220'!$D$5</f>
        <v>CRIN</v>
      </c>
      <c r="G826" s="53" t="str">
        <f ca="1">HYPERLINK("#" &amp; CELL("address", Concepts!$A$7), "Click here for definition")</f>
        <v>Click here for definition</v>
      </c>
    </row>
    <row r="827" spans="1:7" x14ac:dyDescent="0.2">
      <c r="A827">
        <v>826</v>
      </c>
      <c r="B827" t="s">
        <v>1469</v>
      </c>
      <c r="C827" s="53" t="str">
        <f ca="1">HYPERLINK("#" &amp; CELL("address", 'V1.220'!$A$2), "V1.220")</f>
        <v>V1.220</v>
      </c>
      <c r="D827" s="53" t="str">
        <f ca="1">HYPERLINK("#" &amp; CELL("address", 'V1.220'!$C$3), "Customer category")</f>
        <v>Customer category</v>
      </c>
      <c r="E827" s="53" t="str">
        <f ca="1">HYPERLINK("#" &amp; CELL("address", 'V1.220'!$C$6), "Monetary fund")</f>
        <v>Monetary fund</v>
      </c>
      <c r="F827" s="49" t="str">
        <f>'V1.220'!$D$6</f>
        <v>MOFU</v>
      </c>
      <c r="G827" s="53" t="str">
        <f ca="1">HYPERLINK("#" &amp; CELL("address", Concepts!$A$8), "Click here for definition")</f>
        <v>Click here for definition</v>
      </c>
    </row>
    <row r="828" spans="1:7" x14ac:dyDescent="0.2">
      <c r="A828">
        <v>827</v>
      </c>
      <c r="B828" t="s">
        <v>1469</v>
      </c>
      <c r="C828" s="53" t="str">
        <f ca="1">HYPERLINK("#" &amp; CELL("address", 'V1.220'!$A$2), "V1.220")</f>
        <v>V1.220</v>
      </c>
      <c r="D828" s="53" t="str">
        <f ca="1">HYPERLINK("#" &amp; CELL("address", 'V1.220'!$C$3), "Customer category")</f>
        <v>Customer category</v>
      </c>
      <c r="E828" s="53" t="str">
        <f ca="1">HYPERLINK("#" &amp; CELL("address", 'V1.220'!$C$7), "Electronic money institution")</f>
        <v>Electronic money institution</v>
      </c>
      <c r="F828" s="49" t="str">
        <f>'V1.220'!$D$7</f>
        <v>ELMI</v>
      </c>
      <c r="G828" s="53" t="str">
        <f ca="1">HYPERLINK("#" &amp; CELL("address", Concepts!$A$9), "Click here for definition")</f>
        <v>Click here for definition</v>
      </c>
    </row>
    <row r="829" spans="1:7" x14ac:dyDescent="0.2">
      <c r="A829">
        <v>828</v>
      </c>
      <c r="B829" t="s">
        <v>1469</v>
      </c>
      <c r="C829" s="53" t="str">
        <f ca="1">HYPERLINK("#" &amp; CELL("address", 'V1.220'!$A$2), "V1.220")</f>
        <v>V1.220</v>
      </c>
      <c r="D829" s="53" t="str">
        <f ca="1">HYPERLINK("#" &amp; CELL("address", 'V1.220'!$C$3), "Customer category")</f>
        <v>Customer category</v>
      </c>
      <c r="E829" s="53" t="str">
        <f ca="1">HYPERLINK("#" &amp; CELL("address", 'V1.220'!$C$8), "Payment institution")</f>
        <v>Payment institution</v>
      </c>
      <c r="F829" s="49" t="str">
        <f>'V1.220'!$D$8</f>
        <v>PMIN</v>
      </c>
      <c r="G829" s="53" t="str">
        <f ca="1">HYPERLINK("#" &amp; CELL("address", Concepts!$A$13), "Click here for definition")</f>
        <v>Click here for definition</v>
      </c>
    </row>
    <row r="830" spans="1:7" x14ac:dyDescent="0.2">
      <c r="A830">
        <v>829</v>
      </c>
      <c r="B830" t="s">
        <v>1469</v>
      </c>
      <c r="C830" s="53" t="str">
        <f ca="1">HYPERLINK("#" &amp; CELL("address", 'V1.220'!$A$2), "V1.220")</f>
        <v>V1.220</v>
      </c>
      <c r="D830" s="53" t="str">
        <f ca="1">HYPERLINK("#" &amp; CELL("address", 'V1.220'!$C$3), "Customer category")</f>
        <v>Customer category</v>
      </c>
      <c r="E830" s="53" t="str">
        <f ca="1">HYPERLINK("#" &amp; CELL("address", 'V1.220'!$C$9), "Other MFI")</f>
        <v>Other MFI</v>
      </c>
      <c r="F830" s="49" t="str">
        <f>'V1.220'!$D$9</f>
        <v>OMFI</v>
      </c>
      <c r="G830" s="53" t="str">
        <f ca="1">HYPERLINK("#" &amp; CELL("address", Concepts!$A$10), "Click here for definition")</f>
        <v>Click here for definition</v>
      </c>
    </row>
    <row r="831" spans="1:7" x14ac:dyDescent="0.2">
      <c r="A831">
        <v>830</v>
      </c>
      <c r="B831" t="s">
        <v>1469</v>
      </c>
      <c r="C831" s="53" t="str">
        <f ca="1">HYPERLINK("#" &amp; CELL("address", 'V1.220'!$A$2), "V1.220")</f>
        <v>V1.220</v>
      </c>
      <c r="D831" s="53" t="str">
        <f ca="1">HYPERLINK("#" &amp; CELL("address", 'V1.220'!$C$3), "Customer category")</f>
        <v>Customer category</v>
      </c>
      <c r="E831" s="53" t="str">
        <f ca="1">HYPERLINK("#" &amp; CELL("address", 'V1.220'!$C$11), "Non-monetary fund")</f>
        <v>Non-monetary fund</v>
      </c>
      <c r="F831" s="49" t="str">
        <f>'V1.220'!$D$11</f>
        <v>NMFU</v>
      </c>
      <c r="G831" s="53" t="str">
        <f ca="1">HYPERLINK("#" &amp; CELL("address", Concepts!$A$12), "Click here for definition")</f>
        <v>Click here for definition</v>
      </c>
    </row>
    <row r="832" spans="1:7" x14ac:dyDescent="0.2">
      <c r="A832">
        <v>831</v>
      </c>
      <c r="B832" t="s">
        <v>1469</v>
      </c>
      <c r="C832" s="53" t="str">
        <f ca="1">HYPERLINK("#" &amp; CELL("address", 'V1.220'!$A$2), "V1.220")</f>
        <v>V1.220</v>
      </c>
      <c r="D832" s="53" t="str">
        <f ca="1">HYPERLINK("#" &amp; CELL("address", 'V1.220'!$C$3), "Customer category")</f>
        <v>Customer category</v>
      </c>
      <c r="E832" s="53" t="str">
        <f ca="1">HYPERLINK("#" &amp; CELL("address", 'V1.220'!$C$12), "Households and NPISHs")</f>
        <v>Households and NPISHs</v>
      </c>
      <c r="F832" s="49" t="str">
        <f>'V1.220'!$D$12</f>
        <v>HSNP</v>
      </c>
      <c r="G832" s="53" t="str">
        <f ca="1">HYPERLINK("#" &amp; CELL("address", Concepts!$A$14), "Click here for definition")</f>
        <v>Click here for definition</v>
      </c>
    </row>
    <row r="833" spans="1:7" x14ac:dyDescent="0.2">
      <c r="A833">
        <v>832</v>
      </c>
      <c r="B833" t="s">
        <v>1469</v>
      </c>
      <c r="C833" s="53" t="str">
        <f ca="1">HYPERLINK("#" &amp; CELL("address", 'V1.220'!$A$2), "V1.220")</f>
        <v>V1.220</v>
      </c>
      <c r="D833" s="53" t="str">
        <f ca="1">HYPERLINK("#" &amp; CELL("address", 'V1.220'!$C$3), "Customer category")</f>
        <v>Customer category</v>
      </c>
      <c r="E833" s="53" t="str">
        <f ca="1">HYPERLINK("#" &amp; CELL("address", 'V1.220'!$C$13), "Non-financial corporations")</f>
        <v>Non-financial corporations</v>
      </c>
      <c r="F833" s="49" t="str">
        <f>'V1.220'!$D$13</f>
        <v>CORP</v>
      </c>
      <c r="G833" s="53" t="str">
        <f ca="1">HYPERLINK("#" &amp; CELL("address", Concepts!$A$15), "Click here for definition")</f>
        <v>Click here for definition</v>
      </c>
    </row>
    <row r="834" spans="1:7" x14ac:dyDescent="0.2">
      <c r="A834">
        <v>833</v>
      </c>
      <c r="B834" t="s">
        <v>1469</v>
      </c>
      <c r="C834" s="53" t="str">
        <f ca="1">HYPERLINK("#" &amp; CELL("address", 'V1.220'!$A$2), "V1.220")</f>
        <v>V1.220</v>
      </c>
      <c r="D834" s="53" t="str">
        <f ca="1">HYPERLINK("#" &amp; CELL("address", 'V1.220'!$C$3), "Customer category")</f>
        <v>Customer category</v>
      </c>
      <c r="E834" s="53" t="str">
        <f ca="1">HYPERLINK("#" &amp; CELL("address", 'V1.220'!$C$14), "Other non-MFI")</f>
        <v>Other non-MFI</v>
      </c>
      <c r="F834" s="49" t="str">
        <f>'V1.220'!$D$14</f>
        <v>ONMF</v>
      </c>
      <c r="G834" s="53" t="str">
        <f ca="1">HYPERLINK("#" &amp; CELL("address", Concepts!$A$16), "Click here for definition")</f>
        <v>Click here for definition</v>
      </c>
    </row>
    <row r="835" spans="1:7" x14ac:dyDescent="0.2">
      <c r="A835">
        <v>834</v>
      </c>
      <c r="B835" t="s">
        <v>1469</v>
      </c>
      <c r="C835" s="53" t="str">
        <f ca="1">HYPERLINK("#" &amp; CELL("address", 'V1.220'!$A$2), "V1.220")</f>
        <v>V1.220</v>
      </c>
      <c r="D835" s="53" t="str">
        <f ca="1">HYPERLINK("#" &amp; CELL("address", 'V1.220'!$C$3), "Customer category")</f>
        <v>Customer category</v>
      </c>
      <c r="E835" s="53" t="str">
        <f ca="1">HYPERLINK("#" &amp; CELL("address", 'V1.220'!$C$15), "Unknown")</f>
        <v>Unknown</v>
      </c>
      <c r="F835" s="49" t="str">
        <f>'V1.220'!$D$15</f>
        <v>UNKN</v>
      </c>
      <c r="G835" s="53" t="str">
        <f ca="1">HYPERLINK("#" &amp; CELL("address", Concepts!$A$18), "Click here for definition")</f>
        <v>Click here for definition</v>
      </c>
    </row>
    <row r="836" spans="1:7" x14ac:dyDescent="0.2">
      <c r="A836">
        <v>835</v>
      </c>
      <c r="B836" t="s">
        <v>1469</v>
      </c>
      <c r="C836" s="53" t="str">
        <f ca="1">HYPERLINK("#" &amp; CELL("address", 'V1.220'!$A$2), "V1.220")</f>
        <v>V1.220</v>
      </c>
      <c r="D836" s="53" t="str">
        <f ca="1">HYPERLINK("#" &amp; CELL("address", 'V1.220'!$E$3), "Metric")</f>
        <v>Metric</v>
      </c>
      <c r="E836" s="53" t="str">
        <f ca="1">HYPERLINK("#" &amp; CELL("address", 'V1.220'!$E$4), "Number of accounts")</f>
        <v>Number of accounts</v>
      </c>
      <c r="F836" s="49" t="str">
        <f>'V1.220'!$F$4</f>
        <v>VOLU</v>
      </c>
      <c r="G836" s="53" t="str">
        <f ca="1">HYPERLINK("#" &amp; CELL("address", Concepts!$A$149), "Click here for definition")</f>
        <v>Click here for definition</v>
      </c>
    </row>
    <row r="837" spans="1:7" x14ac:dyDescent="0.2">
      <c r="A837">
        <v>836</v>
      </c>
      <c r="B837" t="s">
        <v>1470</v>
      </c>
      <c r="C837" s="53" t="str">
        <f ca="1">HYPERLINK("#" &amp; CELL("address", 'V1.221'!$A$2), "V1.221")</f>
        <v>V1.221</v>
      </c>
      <c r="D837" s="53" t="str">
        <f ca="1">HYPERLINK("#" &amp; CELL("address", 'V1.221'!$A$3), "Medium type")</f>
        <v>Medium type</v>
      </c>
      <c r="E837" s="53" t="str">
        <f ca="1">HYPERLINK("#" &amp; CELL("address", 'V1.221'!$A$4), "Software")</f>
        <v>Software</v>
      </c>
      <c r="F837" s="49" t="str">
        <f>'V1.221'!$B$4</f>
        <v>SFTW</v>
      </c>
      <c r="G837" s="53" t="str">
        <f ca="1">HYPERLINK("#" &amp; CELL("address", Concepts!$A$165), "Click here for definition")</f>
        <v>Click here for definition</v>
      </c>
    </row>
    <row r="838" spans="1:7" x14ac:dyDescent="0.2">
      <c r="A838">
        <v>837</v>
      </c>
      <c r="B838" t="s">
        <v>1470</v>
      </c>
      <c r="C838" s="53" t="str">
        <f ca="1">HYPERLINK("#" &amp; CELL("address", 'V1.221'!$A$2), "V1.221")</f>
        <v>V1.221</v>
      </c>
      <c r="D838" s="53" t="str">
        <f ca="1">HYPERLINK("#" &amp; CELL("address", 'V1.221'!$A$3), "Medium type")</f>
        <v>Medium type</v>
      </c>
      <c r="E838" s="53" t="str">
        <f ca="1">HYPERLINK("#" &amp; CELL("address", 'V1.221'!$A$5), "E-money card")</f>
        <v>E-money card</v>
      </c>
      <c r="F838" s="49" t="str">
        <f>'V1.221'!$B$5</f>
        <v>EMCA</v>
      </c>
      <c r="G838" s="53" t="str">
        <f ca="1">HYPERLINK("#" &amp; CELL("address", Concepts!$A$166), "Click here for definition")</f>
        <v>Click here for definition</v>
      </c>
    </row>
    <row r="839" spans="1:7" x14ac:dyDescent="0.2">
      <c r="A839">
        <v>838</v>
      </c>
      <c r="B839" t="s">
        <v>1470</v>
      </c>
      <c r="C839" s="53" t="str">
        <f ca="1">HYPERLINK("#" &amp; CELL("address", 'V1.221'!$A$2), "V1.221")</f>
        <v>V1.221</v>
      </c>
      <c r="D839" s="53" t="str">
        <f ca="1">HYPERLINK("#" &amp; CELL("address", 'V1.221'!$C$3), "Activity level")</f>
        <v>Activity level</v>
      </c>
      <c r="E839" s="53" t="str">
        <f ca="1">HYPERLINK("#" &amp; CELL("address", 'V1.221'!$C$4), "Active within last 12 months")</f>
        <v>Active within last 12 months</v>
      </c>
      <c r="F839" s="49" t="str">
        <f>'V1.221'!$D$4</f>
        <v>ACT1</v>
      </c>
      <c r="G839" s="53" t="str">
        <f ca="1">HYPERLINK("#" &amp; CELL("address", Concepts!$A$206), "Click here for definition")</f>
        <v>Click here for definition</v>
      </c>
    </row>
    <row r="840" spans="1:7" x14ac:dyDescent="0.2">
      <c r="A840">
        <v>839</v>
      </c>
      <c r="B840" t="s">
        <v>1470</v>
      </c>
      <c r="C840" s="53" t="str">
        <f ca="1">HYPERLINK("#" &amp; CELL("address", 'V1.221'!$A$2), "V1.221")</f>
        <v>V1.221</v>
      </c>
      <c r="D840" s="53" t="str">
        <f ca="1">HYPERLINK("#" &amp; CELL("address", 'V1.221'!$C$3), "Activity level")</f>
        <v>Activity level</v>
      </c>
      <c r="E840" s="53" t="str">
        <f ca="1">HYPERLINK("#" &amp; CELL("address", 'V1.221'!$C$5), "Inactive within last 12 months")</f>
        <v>Inactive within last 12 months</v>
      </c>
      <c r="F840" s="49" t="str">
        <f>'V1.221'!$D$5</f>
        <v>ACT0</v>
      </c>
      <c r="G840" s="53" t="str">
        <f ca="1">HYPERLINK("#" &amp; CELL("address", Concepts!$A$207), "Click here for definition")</f>
        <v>Click here for definition</v>
      </c>
    </row>
    <row r="841" spans="1:7" x14ac:dyDescent="0.2">
      <c r="A841">
        <v>840</v>
      </c>
      <c r="B841" t="s">
        <v>1470</v>
      </c>
      <c r="C841" s="53" t="str">
        <f ca="1">HYPERLINK("#" &amp; CELL("address", 'V1.221'!$A$2), "V1.221")</f>
        <v>V1.221</v>
      </c>
      <c r="D841" s="53" t="str">
        <f ca="1">HYPERLINK("#" &amp; CELL("address", 'V1.221'!$E$3), "Account type")</f>
        <v>Account type</v>
      </c>
      <c r="E841" s="53" t="str">
        <f ca="1">HYPERLINK("#" &amp; CELL("address", 'V1.221'!$E$4), "Merchant")</f>
        <v>Merchant</v>
      </c>
      <c r="F841" s="49" t="str">
        <f>'V1.221'!$F$4</f>
        <v>MERC</v>
      </c>
      <c r="G841" s="53" t="str">
        <f ca="1">HYPERLINK("#" &amp; CELL("address", Concepts!$A$204), "Click here for definition")</f>
        <v>Click here for definition</v>
      </c>
    </row>
    <row r="842" spans="1:7" x14ac:dyDescent="0.2">
      <c r="A842">
        <v>841</v>
      </c>
      <c r="B842" t="s">
        <v>1470</v>
      </c>
      <c r="C842" s="53" t="str">
        <f ca="1">HYPERLINK("#" &amp; CELL("address", 'V1.221'!$A$2), "V1.221")</f>
        <v>V1.221</v>
      </c>
      <c r="D842" s="53" t="str">
        <f ca="1">HYPERLINK("#" &amp; CELL("address", 'V1.221'!$E$3), "Account type")</f>
        <v>Account type</v>
      </c>
      <c r="E842" s="53" t="str">
        <f ca="1">HYPERLINK("#" &amp; CELL("address", 'V1.221'!$E$5), "User")</f>
        <v>User</v>
      </c>
      <c r="F842" s="49" t="str">
        <f>'V1.221'!$F$5</f>
        <v>USER</v>
      </c>
      <c r="G842" s="53" t="str">
        <f ca="1">HYPERLINK("#" &amp; CELL("address", Concepts!$A$205), "Click here for definition")</f>
        <v>Click here for definition</v>
      </c>
    </row>
    <row r="843" spans="1:7" x14ac:dyDescent="0.2">
      <c r="A843">
        <v>842</v>
      </c>
      <c r="B843" t="s">
        <v>1470</v>
      </c>
      <c r="C843" s="53" t="str">
        <f ca="1">HYPERLINK("#" &amp; CELL("address", 'V1.221'!$A$2), "V1.221")</f>
        <v>V1.221</v>
      </c>
      <c r="D843" s="53" t="str">
        <f ca="1">HYPERLINK("#" &amp; CELL("address", 'V1.221'!$G$3), "Country of residence of account holder")</f>
        <v>Country of residence of account holder</v>
      </c>
      <c r="E843" s="53" t="str">
        <f ca="1">HYPERLINK("#" &amp; CELL("address", 'V1.221'!$G$4), "2-letter ISO 3166 country code")</f>
        <v>2-letter ISO 3166 country code</v>
      </c>
      <c r="F843" s="49" t="str">
        <f>'V1.221'!$H$4</f>
        <v>[Geo]</v>
      </c>
      <c r="G843" s="53" t="str">
        <f ca="1">HYPERLINK("#" &amp; CELL("address", Concepts!$A$145), "Click here for definition")</f>
        <v>Click here for definition</v>
      </c>
    </row>
    <row r="844" spans="1:7" x14ac:dyDescent="0.2">
      <c r="A844">
        <v>843</v>
      </c>
      <c r="B844" t="s">
        <v>1470</v>
      </c>
      <c r="C844" s="53" t="str">
        <f ca="1">HYPERLINK("#" &amp; CELL("address", 'V1.221'!$A$2), "V1.221")</f>
        <v>V1.221</v>
      </c>
      <c r="D844" s="53" t="str">
        <f ca="1">HYPERLINK("#" &amp; CELL("address", 'V1.221'!$I$3), "Currency of account")</f>
        <v>Currency of account</v>
      </c>
      <c r="E844" s="53" t="str">
        <f ca="1">HYPERLINK("#" &amp; CELL("address", 'V1.221'!$I$4), "3-letter ISO 4217 currency code")</f>
        <v>3-letter ISO 4217 currency code</v>
      </c>
      <c r="F844" s="49" t="str">
        <f>'V1.221'!$J$4</f>
        <v>[Currency]</v>
      </c>
      <c r="G844" s="53" t="str">
        <f ca="1">HYPERLINK("#" &amp; CELL("address", Concepts!$A$146), "Click here for definition")</f>
        <v>Click here for definition</v>
      </c>
    </row>
    <row r="845" spans="1:7" x14ac:dyDescent="0.2">
      <c r="A845">
        <v>844</v>
      </c>
      <c r="B845" t="s">
        <v>1470</v>
      </c>
      <c r="C845" s="53" t="str">
        <f ca="1">HYPERLINK("#" &amp; CELL("address", 'V1.221'!$A$2), "V1.221")</f>
        <v>V1.221</v>
      </c>
      <c r="D845" s="53" t="str">
        <f ca="1">HYPERLINK("#" &amp; CELL("address", 'V1.221'!$K$3), "Metric")</f>
        <v>Metric</v>
      </c>
      <c r="E845" s="53" t="str">
        <f ca="1">HYPERLINK("#" &amp; CELL("address", 'V1.221'!$K$4), "Number of accounts")</f>
        <v>Number of accounts</v>
      </c>
      <c r="F845" s="49" t="str">
        <f>'V1.221'!$L$4</f>
        <v>VOLU</v>
      </c>
      <c r="G845" s="53" t="str">
        <f ca="1">HYPERLINK("#" &amp; CELL("address", Concepts!$A$149), "Click here for definition")</f>
        <v>Click here for definition</v>
      </c>
    </row>
    <row r="846" spans="1:7" x14ac:dyDescent="0.2">
      <c r="A846">
        <v>845</v>
      </c>
      <c r="B846" t="s">
        <v>1470</v>
      </c>
      <c r="C846" s="53" t="str">
        <f ca="1">HYPERLINK("#" &amp; CELL("address", 'V1.221'!$A$2), "V1.221")</f>
        <v>V1.221</v>
      </c>
      <c r="D846" s="53" t="str">
        <f ca="1">HYPERLINK("#" &amp; CELL("address", 'V1.221'!$K$3), "Metric")</f>
        <v>Metric</v>
      </c>
      <c r="E846" s="53" t="str">
        <f ca="1">HYPERLINK("#" &amp; CELL("address", 'V1.221'!$K$5), "Float (balance)")</f>
        <v>Float (balance)</v>
      </c>
      <c r="F846" s="49" t="str">
        <f>'V1.221'!$L$5</f>
        <v>FLOA</v>
      </c>
      <c r="G846" s="53" t="str">
        <f ca="1">HYPERLINK("#" &amp; CELL("address", Concepts!$A$189), "Click here for definition")</f>
        <v>Click here for definition</v>
      </c>
    </row>
    <row r="847" spans="1:7" x14ac:dyDescent="0.2">
      <c r="A847">
        <v>846</v>
      </c>
      <c r="B847" t="s">
        <v>1471</v>
      </c>
      <c r="C847" s="53" t="str">
        <f ca="1">HYPERLINK("#" &amp; CELL("address", 'V1.222'!$A$2), "V1.222")</f>
        <v>V1.222</v>
      </c>
      <c r="D847" s="53" t="str">
        <f ca="1">HYPERLINK("#" &amp; CELL("address", 'V1.222'!$A$3), "Type of PSP")</f>
        <v>Type of PSP</v>
      </c>
      <c r="E847" s="53" t="str">
        <f ca="1">HYPERLINK("#" &amp; CELL("address", 'V1.222'!$A$4), "Account information service provider (AISP)")</f>
        <v>Account information service provider (AISP)</v>
      </c>
      <c r="F847" s="49" t="str">
        <f>'V1.222'!$B$4</f>
        <v>AISP</v>
      </c>
      <c r="G847" s="53" t="str">
        <f ca="1">HYPERLINK("#" &amp; CELL("address", Concepts!$A$209), "Click here for definition")</f>
        <v>Click here for definition</v>
      </c>
    </row>
    <row r="848" spans="1:7" x14ac:dyDescent="0.2">
      <c r="A848">
        <v>847</v>
      </c>
      <c r="B848" t="s">
        <v>1471</v>
      </c>
      <c r="C848" s="53" t="str">
        <f ca="1">HYPERLINK("#" &amp; CELL("address", 'V1.222'!$A$2), "V1.222")</f>
        <v>V1.222</v>
      </c>
      <c r="D848" s="53" t="str">
        <f ca="1">HYPERLINK("#" &amp; CELL("address", 'V1.222'!$A$3), "Type of PSP")</f>
        <v>Type of PSP</v>
      </c>
      <c r="E848" s="53" t="str">
        <f ca="1">HYPERLINK("#" &amp; CELL("address", 'V1.222'!$A$5), "Account servicing payment service provider (ASPSP)")</f>
        <v>Account servicing payment service provider (ASPSP)</v>
      </c>
      <c r="F848" s="49" t="str">
        <f>'V1.222'!$B$5</f>
        <v>ASPS</v>
      </c>
      <c r="G848" s="53" t="str">
        <f ca="1">HYPERLINK("#" &amp; CELL("address", Concepts!$A$210), "Click here for definition")</f>
        <v>Click here for definition</v>
      </c>
    </row>
    <row r="849" spans="1:7" x14ac:dyDescent="0.2">
      <c r="A849">
        <v>848</v>
      </c>
      <c r="B849" t="s">
        <v>1471</v>
      </c>
      <c r="C849" s="53" t="str">
        <f ca="1">HYPERLINK("#" &amp; CELL("address", 'V1.222'!$A$2), "V1.222")</f>
        <v>V1.222</v>
      </c>
      <c r="D849" s="53" t="str">
        <f ca="1">HYPERLINK("#" &amp; CELL("address", 'V1.222'!$C$3), "Country of ASPSP")</f>
        <v>Country of ASPSP</v>
      </c>
      <c r="E849" s="53" t="str">
        <f ca="1">HYPERLINK("#" &amp; CELL("address", 'V1.222'!$C$5), "Luxembourg")</f>
        <v>Luxembourg</v>
      </c>
      <c r="F849" s="49" t="str">
        <f>'V1.222'!$D$5</f>
        <v>LU</v>
      </c>
      <c r="G849" s="53"/>
    </row>
    <row r="850" spans="1:7" x14ac:dyDescent="0.2">
      <c r="A850">
        <v>849</v>
      </c>
      <c r="B850" t="s">
        <v>1471</v>
      </c>
      <c r="C850" s="53" t="str">
        <f ca="1">HYPERLINK("#" &amp; CELL("address", 'V1.222'!$A$2), "V1.222")</f>
        <v>V1.222</v>
      </c>
      <c r="D850" s="53" t="str">
        <f ca="1">HYPERLINK("#" &amp; CELL("address", 'V1.222'!$C$3), "Country of ASPSP")</f>
        <v>Country of ASPSP</v>
      </c>
      <c r="E850" s="53" t="str">
        <f ca="1">HYPERLINK("#" &amp; CELL("address", 'V1.222'!$C$7), "2-letter ISO 3166 country code")</f>
        <v>2-letter ISO 3166 country code</v>
      </c>
      <c r="F850" s="49" t="str">
        <f>'V1.222'!$D$7</f>
        <v>[Geo]</v>
      </c>
      <c r="G850" s="53" t="str">
        <f ca="1">HYPERLINK("#" &amp; CELL("address", Concepts!$A$145), "Click here for definition")</f>
        <v>Click here for definition</v>
      </c>
    </row>
    <row r="851" spans="1:7" x14ac:dyDescent="0.2">
      <c r="A851">
        <v>850</v>
      </c>
      <c r="B851" t="s">
        <v>1471</v>
      </c>
      <c r="C851" s="53" t="str">
        <f ca="1">HYPERLINK("#" &amp; CELL("address", 'V1.222'!$A$2), "V1.222")</f>
        <v>V1.222</v>
      </c>
      <c r="D851" s="53" t="str">
        <f ca="1">HYPERLINK("#" &amp; CELL("address", 'V1.222'!$E$3), "Country of AISP")</f>
        <v>Country of AISP</v>
      </c>
      <c r="E851" s="53" t="str">
        <f ca="1">HYPERLINK("#" &amp; CELL("address", 'V1.222'!$E$5), "2-letter ISO 3166 country code")</f>
        <v>2-letter ISO 3166 country code</v>
      </c>
      <c r="F851" s="49" t="str">
        <f>'V1.222'!$F$5</f>
        <v>[Geo]</v>
      </c>
      <c r="G851" s="53" t="str">
        <f ca="1">HYPERLINK("#" &amp; CELL("address", Concepts!$A$145), "Click here for definition")</f>
        <v>Click here for definition</v>
      </c>
    </row>
    <row r="852" spans="1:7" x14ac:dyDescent="0.2">
      <c r="A852">
        <v>851</v>
      </c>
      <c r="B852" t="s">
        <v>1471</v>
      </c>
      <c r="C852" s="53" t="str">
        <f ca="1">HYPERLINK("#" &amp; CELL("address", 'V1.222'!$A$2), "V1.222")</f>
        <v>V1.222</v>
      </c>
      <c r="D852" s="53" t="str">
        <f ca="1">HYPERLINK("#" &amp; CELL("address", 'V1.222'!$E$3), "Country of AISP")</f>
        <v>Country of AISP</v>
      </c>
      <c r="E852" s="53" t="str">
        <f ca="1">HYPERLINK("#" &amp; CELL("address", 'V1.222'!$E$7), "Luxembourg")</f>
        <v>Luxembourg</v>
      </c>
      <c r="F852" s="49" t="str">
        <f>'V1.222'!$F$7</f>
        <v>LU</v>
      </c>
      <c r="G852" s="53"/>
    </row>
    <row r="853" spans="1:7" x14ac:dyDescent="0.2">
      <c r="A853">
        <v>852</v>
      </c>
      <c r="B853" t="s">
        <v>1471</v>
      </c>
      <c r="C853" s="53" t="str">
        <f ca="1">HYPERLINK("#" &amp; CELL("address", 'V1.222'!$A$2), "V1.222")</f>
        <v>V1.222</v>
      </c>
      <c r="D853" s="53" t="str">
        <f ca="1">HYPERLINK("#" &amp; CELL("address", 'V1.222'!$G$3), "Metric")</f>
        <v>Metric</v>
      </c>
      <c r="E853" s="53" t="str">
        <f ca="1">HYPERLINK("#" &amp; CELL("address", 'V1.222'!$G$4), "Number of accounts")</f>
        <v>Number of accounts</v>
      </c>
      <c r="F853" s="49" t="str">
        <f>'V1.222'!$H$4</f>
        <v>VOLU</v>
      </c>
      <c r="G853" s="53" t="str">
        <f ca="1">HYPERLINK("#" &amp; CELL("address", Concepts!$A$149), "Click here for definition")</f>
        <v>Click here for definition</v>
      </c>
    </row>
    <row r="854" spans="1:7" x14ac:dyDescent="0.2">
      <c r="A854">
        <v>853</v>
      </c>
      <c r="B854" t="s">
        <v>1472</v>
      </c>
      <c r="C854" s="53" t="str">
        <f ca="1">HYPERLINK("#" &amp; CELL("address", 'V1.230'!$A$2), "V1.230")</f>
        <v>V1.230</v>
      </c>
      <c r="D854" s="53" t="str">
        <f ca="1">HYPERLINK("#" &amp; CELL("address", 'V1.230'!$A$3), "Type of PSP")</f>
        <v>Type of PSP</v>
      </c>
      <c r="E854" s="53" t="str">
        <f ca="1">HYPERLINK("#" &amp; CELL("address", 'V1.230'!$A$4), "Account information service provider (AISP)")</f>
        <v>Account information service provider (AISP)</v>
      </c>
      <c r="F854" s="49" t="str">
        <f>'V1.230'!$B$4</f>
        <v>AISP</v>
      </c>
      <c r="G854" s="53" t="str">
        <f ca="1">HYPERLINK("#" &amp; CELL("address", Concepts!$A$209), "Click here for definition")</f>
        <v>Click here for definition</v>
      </c>
    </row>
    <row r="855" spans="1:7" x14ac:dyDescent="0.2">
      <c r="A855">
        <v>854</v>
      </c>
      <c r="B855" t="s">
        <v>1472</v>
      </c>
      <c r="C855" s="53" t="str">
        <f ca="1">HYPERLINK("#" &amp; CELL("address", 'V1.230'!$A$2), "V1.230")</f>
        <v>V1.230</v>
      </c>
      <c r="D855" s="53" t="str">
        <f ca="1">HYPERLINK("#" &amp; CELL("address", 'V1.230'!$C$3), "Country of customer residence")</f>
        <v>Country of customer residence</v>
      </c>
      <c r="E855" s="53" t="str">
        <f ca="1">HYPERLINK("#" &amp; CELL("address", 'V1.230'!$C$4), "2-letter ISO 3166 country code")</f>
        <v>2-letter ISO 3166 country code</v>
      </c>
      <c r="F855" s="49" t="str">
        <f>'V1.230'!$D$4</f>
        <v>[Geo]</v>
      </c>
      <c r="G855" s="53" t="str">
        <f ca="1">HYPERLINK("#" &amp; CELL("address", Concepts!$A$145), "Click here for definition")</f>
        <v>Click here for definition</v>
      </c>
    </row>
    <row r="856" spans="1:7" x14ac:dyDescent="0.2">
      <c r="A856">
        <v>855</v>
      </c>
      <c r="B856" t="s">
        <v>1472</v>
      </c>
      <c r="C856" s="53" t="str">
        <f ca="1">HYPERLINK("#" &amp; CELL("address", 'V1.230'!$A$2), "V1.230")</f>
        <v>V1.230</v>
      </c>
      <c r="D856" s="53" t="str">
        <f ca="1">HYPERLINK("#" &amp; CELL("address", 'V1.230'!$E$3), "Metric")</f>
        <v>Metric</v>
      </c>
      <c r="E856" s="53" t="str">
        <f ca="1">HYPERLINK("#" &amp; CELL("address", 'V1.230'!$E$4), "Number of customers")</f>
        <v>Number of customers</v>
      </c>
      <c r="F856" s="49" t="str">
        <f>'V1.230'!$F$4</f>
        <v>VOLU</v>
      </c>
      <c r="G856" s="53" t="str">
        <f ca="1">HYPERLINK("#" &amp; CELL("address", Concepts!$A$150), "Click here for definition")</f>
        <v>Click here for definition</v>
      </c>
    </row>
    <row r="857" spans="1:7" x14ac:dyDescent="0.2">
      <c r="A857">
        <v>856</v>
      </c>
      <c r="B857" t="s">
        <v>1539</v>
      </c>
      <c r="C857" s="53" t="str">
        <f ca="1">HYPERLINK("#" &amp; CELL("address", 'V1.300-F'!$A$2), "V1.300-F")</f>
        <v>V1.300-F</v>
      </c>
      <c r="D857" s="53" t="str">
        <f ca="1">HYPERLINK("#" &amp; CELL("address", 'V1.300-F'!$A$3), "Payment instrument type")</f>
        <v>Payment instrument type</v>
      </c>
      <c r="E857" s="53" t="str">
        <f ca="1">HYPERLINK("#" &amp; CELL("address", 'V1.300-F'!$A$4), "Customer credit transfers sent (debtor's PSP)")</f>
        <v>Customer credit transfers sent (debtor's PSP)</v>
      </c>
      <c r="F857" s="49" t="str">
        <f>'V1.300-F'!$B$4</f>
        <v>CCDP</v>
      </c>
      <c r="G857" s="53" t="str">
        <f ca="1">HYPERLINK("#" &amp; CELL("address", Concepts!$A$214), "Click here for definition")</f>
        <v>Click here for definition</v>
      </c>
    </row>
    <row r="858" spans="1:7" x14ac:dyDescent="0.2">
      <c r="A858">
        <v>857</v>
      </c>
      <c r="B858" t="s">
        <v>1539</v>
      </c>
      <c r="C858" s="53" t="str">
        <f ca="1">HYPERLINK("#" &amp; CELL("address", 'V1.300-F'!$A$2), "V1.300-F")</f>
        <v>V1.300-F</v>
      </c>
      <c r="D858" s="53" t="str">
        <f ca="1">HYPERLINK("#" &amp; CELL("address", 'V1.300-F'!$A$3), "Payment instrument type")</f>
        <v>Payment instrument type</v>
      </c>
      <c r="E858" s="53" t="str">
        <f ca="1">HYPERLINK("#" &amp; CELL("address", 'V1.300-F'!$A$5), "Direct debits (creditor's PSP)")</f>
        <v>Direct debits (creditor's PSP)</v>
      </c>
      <c r="F858" s="49" t="str">
        <f>'V1.300-F'!$B$5</f>
        <v>DDCP</v>
      </c>
      <c r="G858" s="53" t="str">
        <f ca="1">HYPERLINK("#" &amp; CELL("address", Concepts!$A$215), "Click here for definition")</f>
        <v>Click here for definition</v>
      </c>
    </row>
    <row r="859" spans="1:7" x14ac:dyDescent="0.2">
      <c r="A859">
        <v>858</v>
      </c>
      <c r="B859" t="s">
        <v>1539</v>
      </c>
      <c r="C859" s="53" t="str">
        <f ca="1">HYPERLINK("#" &amp; CELL("address", 'V1.300-F'!$A$2), "V1.300-F")</f>
        <v>V1.300-F</v>
      </c>
      <c r="D859" s="53" t="str">
        <f ca="1">HYPERLINK("#" &amp; CELL("address", 'V1.300-F'!$A$3), "Payment instrument type")</f>
        <v>Payment instrument type</v>
      </c>
      <c r="E859" s="53" t="str">
        <f ca="1">HYPERLINK("#" &amp; CELL("address", 'V1.300-F'!$A$6), "Card-based payment transactions with card-based payment instruments issued by resident PSP (except cards with an e-money function only)")</f>
        <v>Card-based payment transactions with card-based payment instruments issued by resident PSP (except cards with an e-money function only)</v>
      </c>
      <c r="F859" s="49" t="str">
        <f>'V1.300-F'!$B$6</f>
        <v>CAIS</v>
      </c>
      <c r="G859" s="53" t="str">
        <f ca="1">HYPERLINK("#" &amp; CELL("address", Concepts!$A$216), "Click here for definition")</f>
        <v>Click here for definition</v>
      </c>
    </row>
    <row r="860" spans="1:7" x14ac:dyDescent="0.2">
      <c r="A860">
        <v>859</v>
      </c>
      <c r="B860" t="s">
        <v>1539</v>
      </c>
      <c r="C860" s="53" t="str">
        <f ca="1">HYPERLINK("#" &amp; CELL("address", 'V1.300-F'!$A$2), "V1.300-F")</f>
        <v>V1.300-F</v>
      </c>
      <c r="D860" s="53" t="str">
        <f ca="1">HYPERLINK("#" &amp; CELL("address", 'V1.300-F'!$A$3), "Payment instrument type")</f>
        <v>Payment instrument type</v>
      </c>
      <c r="E860" s="53" t="str">
        <f ca="1">HYPERLINK("#" &amp; CELL("address", 'V1.300-F'!$A$7), "Card-based payment transactions acquired by resident PSPs (except cards with an e-money function only)")</f>
        <v>Card-based payment transactions acquired by resident PSPs (except cards with an e-money function only)</v>
      </c>
      <c r="F860" s="49" t="str">
        <f>'V1.300-F'!$B$7</f>
        <v>CARE</v>
      </c>
      <c r="G860" s="53" t="str">
        <f ca="1">HYPERLINK("#" &amp; CELL("address", Concepts!$A$217), "Click here for definition")</f>
        <v>Click here for definition</v>
      </c>
    </row>
    <row r="861" spans="1:7" x14ac:dyDescent="0.2">
      <c r="A861">
        <v>860</v>
      </c>
      <c r="B861" t="s">
        <v>1539</v>
      </c>
      <c r="C861" s="53" t="str">
        <f ca="1">HYPERLINK("#" &amp; CELL("address", 'V1.300-F'!$A$2), "V1.300-F")</f>
        <v>V1.300-F</v>
      </c>
      <c r="D861" s="53" t="str">
        <f ca="1">HYPERLINK("#" &amp; CELL("address", 'V1.300-F'!$A$3), "Payment instrument type")</f>
        <v>Payment instrument type</v>
      </c>
      <c r="E861" s="53" t="str">
        <f ca="1">HYPERLINK("#" &amp; CELL("address", 'V1.300-F'!$A$8), "E-money payment transactions (debtor's PSP)")</f>
        <v>E-money payment transactions (debtor's PSP)</v>
      </c>
      <c r="F861" s="49" t="str">
        <f>'V1.300-F'!$B$8</f>
        <v>ETDP</v>
      </c>
      <c r="G861" s="53" t="str">
        <f ca="1">HYPERLINK("#" &amp; CELL("address", Concepts!$A$218), "Click here for definition")</f>
        <v>Click here for definition</v>
      </c>
    </row>
    <row r="862" spans="1:7" x14ac:dyDescent="0.2">
      <c r="A862">
        <v>861</v>
      </c>
      <c r="B862" t="s">
        <v>1539</v>
      </c>
      <c r="C862" s="53" t="str">
        <f ca="1">HYPERLINK("#" &amp; CELL("address", 'V1.300-F'!$A$2), "V1.300-F")</f>
        <v>V1.300-F</v>
      </c>
      <c r="D862" s="53" t="str">
        <f ca="1">HYPERLINK("#" &amp; CELL("address", 'V1.300-F'!$A$3), "Payment instrument type")</f>
        <v>Payment instrument type</v>
      </c>
      <c r="E862" s="53" t="str">
        <f ca="1">HYPERLINK("#" &amp; CELL("address", 'V1.300-F'!$A$9), "Cash withdrawals using cards issued by resident PSP (debtor's PSP)")</f>
        <v>Cash withdrawals using cards issued by resident PSP (debtor's PSP)</v>
      </c>
      <c r="F862" s="49" t="str">
        <f>'V1.300-F'!$B$9</f>
        <v>CAWT</v>
      </c>
      <c r="G862" s="53" t="str">
        <f ca="1">HYPERLINK("#" &amp; CELL("address", Concepts!$A$219), "Click here for definition")</f>
        <v>Click here for definition</v>
      </c>
    </row>
    <row r="863" spans="1:7" x14ac:dyDescent="0.2">
      <c r="A863">
        <v>862</v>
      </c>
      <c r="B863" t="s">
        <v>1539</v>
      </c>
      <c r="C863" s="53" t="str">
        <f ca="1">HYPERLINK("#" &amp; CELL("address", 'V1.300-F'!$A$2), "V1.300-F")</f>
        <v>V1.300-F</v>
      </c>
      <c r="D863" s="53" t="str">
        <f ca="1">HYPERLINK("#" &amp; CELL("address", 'V1.300-F'!$C$3), "Customer category")</f>
        <v>Customer category</v>
      </c>
      <c r="E863" s="53" t="str">
        <f ca="1">HYPERLINK("#" &amp; CELL("address", 'V1.300-F'!$C$5), "Credit institution")</f>
        <v>Credit institution</v>
      </c>
      <c r="F863" s="49" t="str">
        <f>'V1.300-F'!$D$5</f>
        <v>CRIN</v>
      </c>
      <c r="G863" s="53" t="str">
        <f ca="1">HYPERLINK("#" &amp; CELL("address", Concepts!$A$7), "Click here for definition")</f>
        <v>Click here for definition</v>
      </c>
    </row>
    <row r="864" spans="1:7" x14ac:dyDescent="0.2">
      <c r="A864">
        <v>863</v>
      </c>
      <c r="B864" t="s">
        <v>1539</v>
      </c>
      <c r="C864" s="53" t="str">
        <f ca="1">HYPERLINK("#" &amp; CELL("address", 'V1.300-F'!$A$2), "V1.300-F")</f>
        <v>V1.300-F</v>
      </c>
      <c r="D864" s="53" t="str">
        <f ca="1">HYPERLINK("#" &amp; CELL("address", 'V1.300-F'!$C$3), "Customer category")</f>
        <v>Customer category</v>
      </c>
      <c r="E864" s="53" t="str">
        <f ca="1">HYPERLINK("#" &amp; CELL("address", 'V1.300-F'!$C$6), "Monetary fund")</f>
        <v>Monetary fund</v>
      </c>
      <c r="F864" s="49" t="str">
        <f>'V1.300-F'!$D$6</f>
        <v>MOFU</v>
      </c>
      <c r="G864" s="53" t="str">
        <f ca="1">HYPERLINK("#" &amp; CELL("address", Concepts!$A$8), "Click here for definition")</f>
        <v>Click here for definition</v>
      </c>
    </row>
    <row r="865" spans="1:7" x14ac:dyDescent="0.2">
      <c r="A865">
        <v>864</v>
      </c>
      <c r="B865" t="s">
        <v>1539</v>
      </c>
      <c r="C865" s="53" t="str">
        <f ca="1">HYPERLINK("#" &amp; CELL("address", 'V1.300-F'!$A$2), "V1.300-F")</f>
        <v>V1.300-F</v>
      </c>
      <c r="D865" s="53" t="str">
        <f ca="1">HYPERLINK("#" &amp; CELL("address", 'V1.300-F'!$C$3), "Customer category")</f>
        <v>Customer category</v>
      </c>
      <c r="E865" s="53" t="str">
        <f ca="1">HYPERLINK("#" &amp; CELL("address", 'V1.300-F'!$C$7), "Electronic money institution")</f>
        <v>Electronic money institution</v>
      </c>
      <c r="F865" s="49" t="str">
        <f>'V1.300-F'!$D$7</f>
        <v>ELMI</v>
      </c>
      <c r="G865" s="53" t="str">
        <f ca="1">HYPERLINK("#" &amp; CELL("address", Concepts!$A$9), "Click here for definition")</f>
        <v>Click here for definition</v>
      </c>
    </row>
    <row r="866" spans="1:7" x14ac:dyDescent="0.2">
      <c r="A866">
        <v>865</v>
      </c>
      <c r="B866" t="s">
        <v>1539</v>
      </c>
      <c r="C866" s="53" t="str">
        <f ca="1">HYPERLINK("#" &amp; CELL("address", 'V1.300-F'!$A$2), "V1.300-F")</f>
        <v>V1.300-F</v>
      </c>
      <c r="D866" s="53" t="str">
        <f ca="1">HYPERLINK("#" &amp; CELL("address", 'V1.300-F'!$C$3), "Customer category")</f>
        <v>Customer category</v>
      </c>
      <c r="E866" s="53" t="str">
        <f ca="1">HYPERLINK("#" &amp; CELL("address", 'V1.300-F'!$C$8), "Payment institution")</f>
        <v>Payment institution</v>
      </c>
      <c r="F866" s="49" t="str">
        <f>'V1.300-F'!$D$8</f>
        <v>PMIN</v>
      </c>
      <c r="G866" s="53" t="str">
        <f ca="1">HYPERLINK("#" &amp; CELL("address", Concepts!$A$13), "Click here for definition")</f>
        <v>Click here for definition</v>
      </c>
    </row>
    <row r="867" spans="1:7" x14ac:dyDescent="0.2">
      <c r="A867">
        <v>866</v>
      </c>
      <c r="B867" t="s">
        <v>1539</v>
      </c>
      <c r="C867" s="53" t="str">
        <f ca="1">HYPERLINK("#" &amp; CELL("address", 'V1.300-F'!$A$2), "V1.300-F")</f>
        <v>V1.300-F</v>
      </c>
      <c r="D867" s="53" t="str">
        <f ca="1">HYPERLINK("#" &amp; CELL("address", 'V1.300-F'!$C$3), "Customer category")</f>
        <v>Customer category</v>
      </c>
      <c r="E867" s="53" t="str">
        <f ca="1">HYPERLINK("#" &amp; CELL("address", 'V1.300-F'!$C$9), "Other MFI")</f>
        <v>Other MFI</v>
      </c>
      <c r="F867" s="49" t="str">
        <f>'V1.300-F'!$D$9</f>
        <v>OMFI</v>
      </c>
      <c r="G867" s="53" t="str">
        <f ca="1">HYPERLINK("#" &amp; CELL("address", Concepts!$A$10), "Click here for definition")</f>
        <v>Click here for definition</v>
      </c>
    </row>
    <row r="868" spans="1:7" x14ac:dyDescent="0.2">
      <c r="A868">
        <v>867</v>
      </c>
      <c r="B868" t="s">
        <v>1539</v>
      </c>
      <c r="C868" s="53" t="str">
        <f ca="1">HYPERLINK("#" &amp; CELL("address", 'V1.300-F'!$A$2), "V1.300-F")</f>
        <v>V1.300-F</v>
      </c>
      <c r="D868" s="53" t="str">
        <f ca="1">HYPERLINK("#" &amp; CELL("address", 'V1.300-F'!$C$3), "Customer category")</f>
        <v>Customer category</v>
      </c>
      <c r="E868" s="53" t="str">
        <f ca="1">HYPERLINK("#" &amp; CELL("address", 'V1.300-F'!$C$11), "Non-monetary fund")</f>
        <v>Non-monetary fund</v>
      </c>
      <c r="F868" s="49" t="str">
        <f>'V1.300-F'!$D$11</f>
        <v>NMFU</v>
      </c>
      <c r="G868" s="53" t="str">
        <f ca="1">HYPERLINK("#" &amp; CELL("address", Concepts!$A$12), "Click here for definition")</f>
        <v>Click here for definition</v>
      </c>
    </row>
    <row r="869" spans="1:7" x14ac:dyDescent="0.2">
      <c r="A869">
        <v>868</v>
      </c>
      <c r="B869" t="s">
        <v>1539</v>
      </c>
      <c r="C869" s="53" t="str">
        <f ca="1">HYPERLINK("#" &amp; CELL("address", 'V1.300-F'!$A$2), "V1.300-F")</f>
        <v>V1.300-F</v>
      </c>
      <c r="D869" s="53" t="str">
        <f ca="1">HYPERLINK("#" &amp; CELL("address", 'V1.300-F'!$C$3), "Customer category")</f>
        <v>Customer category</v>
      </c>
      <c r="E869" s="53" t="str">
        <f ca="1">HYPERLINK("#" &amp; CELL("address", 'V1.300-F'!$C$12), "Households and NPISHs")</f>
        <v>Households and NPISHs</v>
      </c>
      <c r="F869" s="49" t="str">
        <f>'V1.300-F'!$D$12</f>
        <v>HSNP</v>
      </c>
      <c r="G869" s="53" t="str">
        <f ca="1">HYPERLINK("#" &amp; CELL("address", Concepts!$A$14), "Click here for definition")</f>
        <v>Click here for definition</v>
      </c>
    </row>
    <row r="870" spans="1:7" x14ac:dyDescent="0.2">
      <c r="A870">
        <v>869</v>
      </c>
      <c r="B870" t="s">
        <v>1539</v>
      </c>
      <c r="C870" s="53" t="str">
        <f ca="1">HYPERLINK("#" &amp; CELL("address", 'V1.300-F'!$A$2), "V1.300-F")</f>
        <v>V1.300-F</v>
      </c>
      <c r="D870" s="53" t="str">
        <f ca="1">HYPERLINK("#" &amp; CELL("address", 'V1.300-F'!$C$3), "Customer category")</f>
        <v>Customer category</v>
      </c>
      <c r="E870" s="53" t="str">
        <f ca="1">HYPERLINK("#" &amp; CELL("address", 'V1.300-F'!$C$13), "Non-financial corporations")</f>
        <v>Non-financial corporations</v>
      </c>
      <c r="F870" s="49" t="str">
        <f>'V1.300-F'!$D$13</f>
        <v>CORP</v>
      </c>
      <c r="G870" s="53" t="str">
        <f ca="1">HYPERLINK("#" &amp; CELL("address", Concepts!$A$15), "Click here for definition")</f>
        <v>Click here for definition</v>
      </c>
    </row>
    <row r="871" spans="1:7" x14ac:dyDescent="0.2">
      <c r="A871">
        <v>870</v>
      </c>
      <c r="B871" t="s">
        <v>1539</v>
      </c>
      <c r="C871" s="53" t="str">
        <f ca="1">HYPERLINK("#" &amp; CELL("address", 'V1.300-F'!$A$2), "V1.300-F")</f>
        <v>V1.300-F</v>
      </c>
      <c r="D871" s="53" t="str">
        <f ca="1">HYPERLINK("#" &amp; CELL("address", 'V1.300-F'!$C$3), "Customer category")</f>
        <v>Customer category</v>
      </c>
      <c r="E871" s="53" t="str">
        <f ca="1">HYPERLINK("#" &amp; CELL("address", 'V1.300-F'!$C$14), "Other non-MFI")</f>
        <v>Other non-MFI</v>
      </c>
      <c r="F871" s="49" t="str">
        <f>'V1.300-F'!$D$14</f>
        <v>ONMF</v>
      </c>
      <c r="G871" s="53" t="str">
        <f ca="1">HYPERLINK("#" &amp; CELL("address", Concepts!$A$16), "Click here for definition")</f>
        <v>Click here for definition</v>
      </c>
    </row>
    <row r="872" spans="1:7" x14ac:dyDescent="0.2">
      <c r="A872">
        <v>871</v>
      </c>
      <c r="B872" t="s">
        <v>1539</v>
      </c>
      <c r="C872" s="53" t="str">
        <f ca="1">HYPERLINK("#" &amp; CELL("address", 'V1.300-F'!$A$2), "V1.300-F")</f>
        <v>V1.300-F</v>
      </c>
      <c r="D872" s="53" t="str">
        <f ca="1">HYPERLINK("#" &amp; CELL("address", 'V1.300-F'!$C$3), "Customer category")</f>
        <v>Customer category</v>
      </c>
      <c r="E872" s="53" t="str">
        <f ca="1">HYPERLINK("#" &amp; CELL("address", 'V1.300-F'!$C$15), "Own account operation")</f>
        <v>Own account operation</v>
      </c>
      <c r="F872" s="49" t="str">
        <f>'V1.300-F'!$D$15</f>
        <v>OWNA</v>
      </c>
      <c r="G872" s="53" t="str">
        <f ca="1">HYPERLINK("#" &amp; CELL("address", Concepts!$A$17), "Click here for definition")</f>
        <v>Click here for definition</v>
      </c>
    </row>
    <row r="873" spans="1:7" x14ac:dyDescent="0.2">
      <c r="A873">
        <v>872</v>
      </c>
      <c r="B873" t="s">
        <v>1539</v>
      </c>
      <c r="C873" s="53" t="str">
        <f ca="1">HYPERLINK("#" &amp; CELL("address", 'V1.300-F'!$A$2), "V1.300-F")</f>
        <v>V1.300-F</v>
      </c>
      <c r="D873" s="53" t="str">
        <f ca="1">HYPERLINK("#" &amp; CELL("address", 'V1.300-F'!$C$3), "Customer category")</f>
        <v>Customer category</v>
      </c>
      <c r="E873" s="53" t="str">
        <f ca="1">HYPERLINK("#" &amp; CELL("address", 'V1.300-F'!$C$16), "Unknown")</f>
        <v>Unknown</v>
      </c>
      <c r="F873" s="49" t="str">
        <f>'V1.300-F'!$D$16</f>
        <v>UNKN</v>
      </c>
      <c r="G873" s="53" t="str">
        <f ca="1">HYPERLINK("#" &amp; CELL("address", Concepts!$A$18), "Click here for definition")</f>
        <v>Click here for definition</v>
      </c>
    </row>
    <row r="874" spans="1:7" x14ac:dyDescent="0.2">
      <c r="A874">
        <v>873</v>
      </c>
      <c r="B874" t="s">
        <v>1539</v>
      </c>
      <c r="C874" s="53" t="str">
        <f ca="1">HYPERLINK("#" &amp; CELL("address", 'V1.300-F'!$A$2), "V1.300-F")</f>
        <v>V1.300-F</v>
      </c>
      <c r="D874" s="53" t="str">
        <f ca="1">HYPERLINK("#" &amp; CELL("address", 'V1.300-F'!$E$3), "Liability bearer")</f>
        <v>Liability bearer</v>
      </c>
      <c r="E874" s="53" t="str">
        <f ca="1">HYPERLINK("#" &amp; CELL("address", 'V1.300-F'!$E$4), "The reporting PSP")</f>
        <v>The reporting PSP</v>
      </c>
      <c r="F874" s="49" t="str">
        <f>'V1.300-F'!$F$4</f>
        <v>BPSP</v>
      </c>
      <c r="G874" s="53" t="str">
        <f ca="1">HYPERLINK("#" &amp; CELL("address", Concepts!$A$211), "Click here for definition")</f>
        <v>Click here for definition</v>
      </c>
    </row>
    <row r="875" spans="1:7" x14ac:dyDescent="0.2">
      <c r="A875">
        <v>874</v>
      </c>
      <c r="B875" t="s">
        <v>1539</v>
      </c>
      <c r="C875" s="53" t="str">
        <f ca="1">HYPERLINK("#" &amp; CELL("address", 'V1.300-F'!$A$2), "V1.300-F")</f>
        <v>V1.300-F</v>
      </c>
      <c r="D875" s="53" t="str">
        <f ca="1">HYPERLINK("#" &amp; CELL("address", 'V1.300-F'!$E$3), "Liability bearer")</f>
        <v>Liability bearer</v>
      </c>
      <c r="E875" s="53" t="str">
        <f ca="1">HYPERLINK("#" &amp; CELL("address", 'V1.300-F'!$E$5), "The PSU of the reporting PSP")</f>
        <v>The PSU of the reporting PSP</v>
      </c>
      <c r="F875" s="49" t="str">
        <f>'V1.300-F'!$F$5</f>
        <v>BPSU</v>
      </c>
      <c r="G875" s="53" t="str">
        <f ca="1">HYPERLINK("#" &amp; CELL("address", Concepts!$A$212), "Click here for definition")</f>
        <v>Click here for definition</v>
      </c>
    </row>
    <row r="876" spans="1:7" x14ac:dyDescent="0.2">
      <c r="A876">
        <v>875</v>
      </c>
      <c r="B876" t="s">
        <v>1539</v>
      </c>
      <c r="C876" s="53" t="str">
        <f ca="1">HYPERLINK("#" &amp; CELL("address", 'V1.300-F'!$A$2), "V1.300-F")</f>
        <v>V1.300-F</v>
      </c>
      <c r="D876" s="53" t="str">
        <f ca="1">HYPERLINK("#" &amp; CELL("address", 'V1.300-F'!$E$3), "Liability bearer")</f>
        <v>Liability bearer</v>
      </c>
      <c r="E876" s="53" t="str">
        <f ca="1">HYPERLINK("#" &amp; CELL("address", 'V1.300-F'!$E$6), "Other")</f>
        <v>Other</v>
      </c>
      <c r="F876" s="49" t="str">
        <f>'V1.300-F'!$F$6</f>
        <v>OTHR</v>
      </c>
      <c r="G876" s="53" t="str">
        <f ca="1">HYPERLINK("#" &amp; CELL("address", Concepts!$A$213), "Click here for definition")</f>
        <v>Click here for definition</v>
      </c>
    </row>
    <row r="877" spans="1:7" x14ac:dyDescent="0.2">
      <c r="A877">
        <v>876</v>
      </c>
      <c r="B877" t="s">
        <v>1539</v>
      </c>
      <c r="C877" s="53" t="str">
        <f ca="1">HYPERLINK("#" &amp; CELL("address", 'V1.300-F'!$A$2), "V1.300-F")</f>
        <v>V1.300-F</v>
      </c>
      <c r="D877" s="53" t="str">
        <f ca="1">HYPERLINK("#" &amp; CELL("address", 'V1.300-F'!$G$3), "Metric")</f>
        <v>Metric</v>
      </c>
      <c r="E877" s="53" t="str">
        <f ca="1">HYPERLINK("#" &amp; CELL("address", 'V1.300-F'!$G$4), "Value")</f>
        <v>Value</v>
      </c>
      <c r="F877" s="49" t="str">
        <f>'V1.300-F'!$H$4</f>
        <v>VALE</v>
      </c>
      <c r="G877" s="53" t="str">
        <f ca="1">HYPERLINK("#" &amp; CELL("address", Concepts!$A$220), "Click here for definition")</f>
        <v>Click here for definition</v>
      </c>
    </row>
    <row r="878" spans="1:7" x14ac:dyDescent="0.2">
      <c r="C878" s="53"/>
      <c r="D878" s="53"/>
      <c r="E878" s="53"/>
      <c r="G878" s="53"/>
    </row>
    <row r="879" spans="1:7" x14ac:dyDescent="0.2">
      <c r="C879" s="53"/>
      <c r="D879" s="53"/>
      <c r="E879" s="53"/>
      <c r="G879" s="53"/>
    </row>
    <row r="880" spans="1:7" x14ac:dyDescent="0.2">
      <c r="C880" s="53"/>
      <c r="D880" s="53"/>
      <c r="E880" s="53"/>
    </row>
    <row r="881" spans="3:5" x14ac:dyDescent="0.2">
      <c r="C881" s="53"/>
      <c r="D881" s="53"/>
      <c r="E881" s="53"/>
    </row>
    <row r="882" spans="3:5" x14ac:dyDescent="0.2">
      <c r="C882" s="53"/>
      <c r="D882" s="53"/>
      <c r="E882" s="53"/>
    </row>
    <row r="883" spans="3:5" x14ac:dyDescent="0.2">
      <c r="C883" s="53"/>
      <c r="D883" s="53"/>
      <c r="E883" s="53"/>
    </row>
    <row r="884" spans="3:5" x14ac:dyDescent="0.2">
      <c r="C884" s="53"/>
      <c r="D884" s="53"/>
      <c r="E884" s="53"/>
    </row>
    <row r="885" spans="3:5" x14ac:dyDescent="0.2">
      <c r="C885" s="53"/>
      <c r="D885" s="53"/>
      <c r="E885" s="53"/>
    </row>
    <row r="886" spans="3:5" x14ac:dyDescent="0.2">
      <c r="C886" s="53"/>
      <c r="D886" s="53"/>
      <c r="E886" s="53"/>
    </row>
    <row r="887" spans="3:5" x14ac:dyDescent="0.2">
      <c r="C887" s="53"/>
      <c r="D887" s="53"/>
      <c r="E887" s="53"/>
    </row>
    <row r="888" spans="3:5" x14ac:dyDescent="0.2">
      <c r="C888" s="53"/>
      <c r="D888" s="53"/>
      <c r="E888" s="53"/>
    </row>
    <row r="889" spans="3:5" x14ac:dyDescent="0.2">
      <c r="C889" s="53"/>
      <c r="D889" s="53"/>
      <c r="E889" s="53"/>
    </row>
    <row r="890" spans="3:5" x14ac:dyDescent="0.2">
      <c r="C890" s="53"/>
      <c r="D890" s="53"/>
      <c r="E890" s="53"/>
    </row>
    <row r="891" spans="3:5" x14ac:dyDescent="0.2">
      <c r="C891" s="53"/>
      <c r="D891" s="53"/>
      <c r="E891" s="53"/>
    </row>
    <row r="892" spans="3:5" x14ac:dyDescent="0.2">
      <c r="C892" s="53"/>
      <c r="D892" s="53"/>
      <c r="E892" s="53"/>
    </row>
    <row r="893" spans="3:5" x14ac:dyDescent="0.2">
      <c r="C893" s="53"/>
      <c r="D893" s="53"/>
      <c r="E893" s="53"/>
    </row>
    <row r="894" spans="3:5" x14ac:dyDescent="0.2">
      <c r="C894" s="53"/>
      <c r="D894" s="53"/>
      <c r="E894" s="53"/>
    </row>
    <row r="895" spans="3:5" x14ac:dyDescent="0.2">
      <c r="C895" s="53"/>
      <c r="D895" s="53"/>
      <c r="E895" s="53"/>
    </row>
    <row r="896" spans="3:5" x14ac:dyDescent="0.2">
      <c r="C896" s="53"/>
      <c r="D896" s="53"/>
      <c r="E896" s="53"/>
    </row>
    <row r="897" spans="3:5" x14ac:dyDescent="0.2">
      <c r="C897" s="53"/>
      <c r="D897" s="53"/>
      <c r="E897" s="53"/>
    </row>
    <row r="898" spans="3:5" x14ac:dyDescent="0.2">
      <c r="C898" s="53"/>
      <c r="D898" s="53"/>
      <c r="E898" s="53"/>
    </row>
    <row r="899" spans="3:5" x14ac:dyDescent="0.2">
      <c r="C899" s="53"/>
      <c r="D899" s="53"/>
      <c r="E899" s="53"/>
    </row>
    <row r="900" spans="3:5" x14ac:dyDescent="0.2">
      <c r="C900" s="53"/>
      <c r="D900" s="53"/>
      <c r="E900" s="53"/>
    </row>
    <row r="901" spans="3:5" x14ac:dyDescent="0.2">
      <c r="C901" s="53"/>
      <c r="D901" s="53"/>
      <c r="E901" s="53"/>
    </row>
    <row r="902" spans="3:5" x14ac:dyDescent="0.2">
      <c r="C902" s="53"/>
      <c r="D902" s="53"/>
      <c r="E902" s="53"/>
    </row>
    <row r="903" spans="3:5" x14ac:dyDescent="0.2">
      <c r="C903" s="53"/>
      <c r="D903" s="53"/>
      <c r="E903" s="53"/>
    </row>
    <row r="904" spans="3:5" x14ac:dyDescent="0.2">
      <c r="C904" s="53"/>
      <c r="D904" s="53"/>
      <c r="E904" s="53"/>
    </row>
    <row r="905" spans="3:5" x14ac:dyDescent="0.2">
      <c r="C905" s="53"/>
      <c r="D905" s="53"/>
      <c r="E905" s="53"/>
    </row>
    <row r="906" spans="3:5" x14ac:dyDescent="0.2">
      <c r="C906" s="53"/>
      <c r="D906" s="53"/>
      <c r="E906" s="53"/>
    </row>
    <row r="907" spans="3:5" x14ac:dyDescent="0.2">
      <c r="C907" s="53"/>
      <c r="D907" s="53"/>
      <c r="E907" s="53"/>
    </row>
    <row r="908" spans="3:5" x14ac:dyDescent="0.2">
      <c r="C908" s="53"/>
      <c r="D908" s="53"/>
      <c r="E908" s="53"/>
    </row>
    <row r="909" spans="3:5" x14ac:dyDescent="0.2">
      <c r="C909" s="53"/>
      <c r="D909" s="53"/>
      <c r="E909" s="53"/>
    </row>
    <row r="910" spans="3:5" x14ac:dyDescent="0.2">
      <c r="C910" s="53"/>
      <c r="D910" s="53"/>
      <c r="E910" s="53"/>
    </row>
    <row r="911" spans="3:5" x14ac:dyDescent="0.2">
      <c r="C911" s="53"/>
      <c r="D911" s="53"/>
      <c r="E911" s="53"/>
    </row>
    <row r="912" spans="3:5" x14ac:dyDescent="0.2">
      <c r="C912" s="53"/>
      <c r="D912" s="53"/>
      <c r="E912" s="53"/>
    </row>
    <row r="913" spans="3:5" x14ac:dyDescent="0.2">
      <c r="C913" s="53"/>
      <c r="D913" s="53"/>
      <c r="E913" s="53"/>
    </row>
    <row r="914" spans="3:5" x14ac:dyDescent="0.2">
      <c r="C914" s="53"/>
      <c r="D914" s="53"/>
      <c r="E914" s="53"/>
    </row>
    <row r="915" spans="3:5" x14ac:dyDescent="0.2">
      <c r="C915" s="53"/>
      <c r="D915" s="53"/>
      <c r="E915" s="53"/>
    </row>
    <row r="916" spans="3:5" x14ac:dyDescent="0.2">
      <c r="C916" s="53"/>
      <c r="D916" s="53"/>
      <c r="E916" s="53"/>
    </row>
    <row r="917" spans="3:5" x14ac:dyDescent="0.2">
      <c r="C917" s="53"/>
      <c r="D917" s="53"/>
      <c r="E917" s="53"/>
    </row>
    <row r="918" spans="3:5" x14ac:dyDescent="0.2">
      <c r="C918" s="53"/>
      <c r="D918" s="53"/>
      <c r="E918" s="53"/>
    </row>
    <row r="919" spans="3:5" x14ac:dyDescent="0.2">
      <c r="C919" s="53"/>
      <c r="D919" s="53"/>
      <c r="E919" s="53"/>
    </row>
    <row r="920" spans="3:5" x14ac:dyDescent="0.2">
      <c r="C920" s="53"/>
      <c r="D920" s="53"/>
      <c r="E920" s="53"/>
    </row>
    <row r="921" spans="3:5" x14ac:dyDescent="0.2">
      <c r="C921" s="53"/>
      <c r="D921" s="53"/>
      <c r="E921" s="53"/>
    </row>
    <row r="922" spans="3:5" x14ac:dyDescent="0.2">
      <c r="C922" s="53"/>
      <c r="D922" s="53"/>
      <c r="E922" s="53"/>
    </row>
    <row r="923" spans="3:5" x14ac:dyDescent="0.2">
      <c r="C923" s="53"/>
      <c r="D923" s="53"/>
      <c r="E923" s="53"/>
    </row>
    <row r="924" spans="3:5" x14ac:dyDescent="0.2">
      <c r="C924" s="53"/>
      <c r="D924" s="53"/>
      <c r="E924" s="53"/>
    </row>
    <row r="925" spans="3:5" x14ac:dyDescent="0.2">
      <c r="C925" s="53"/>
      <c r="D925" s="53"/>
      <c r="E925" s="53"/>
    </row>
    <row r="926" spans="3:5" x14ac:dyDescent="0.2">
      <c r="C926" s="53"/>
      <c r="D926" s="53"/>
      <c r="E926" s="53"/>
    </row>
    <row r="927" spans="3:5" x14ac:dyDescent="0.2">
      <c r="C927" s="53"/>
      <c r="D927" s="53"/>
      <c r="E927" s="53"/>
    </row>
    <row r="928" spans="3:5" x14ac:dyDescent="0.2">
      <c r="C928" s="53"/>
      <c r="D928" s="53"/>
      <c r="E928" s="53"/>
    </row>
    <row r="929" spans="3:5" x14ac:dyDescent="0.2">
      <c r="C929" s="53"/>
      <c r="D929" s="53"/>
      <c r="E929" s="53"/>
    </row>
    <row r="930" spans="3:5" x14ac:dyDescent="0.2">
      <c r="C930" s="53"/>
      <c r="D930" s="53"/>
      <c r="E930" s="53"/>
    </row>
    <row r="931" spans="3:5" x14ac:dyDescent="0.2">
      <c r="C931" s="53"/>
      <c r="D931" s="53"/>
      <c r="E931" s="53"/>
    </row>
    <row r="932" spans="3:5" x14ac:dyDescent="0.2">
      <c r="C932" s="53"/>
      <c r="D932" s="53"/>
      <c r="E932" s="53"/>
    </row>
    <row r="933" spans="3:5" x14ac:dyDescent="0.2">
      <c r="C933" s="53"/>
      <c r="D933" s="53"/>
      <c r="E933" s="53"/>
    </row>
    <row r="934" spans="3:5" x14ac:dyDescent="0.2">
      <c r="C934" s="53"/>
      <c r="D934" s="53"/>
      <c r="E934" s="53"/>
    </row>
    <row r="935" spans="3:5" x14ac:dyDescent="0.2">
      <c r="C935" s="53"/>
      <c r="D935" s="53"/>
      <c r="E935" s="53"/>
    </row>
    <row r="936" spans="3:5" x14ac:dyDescent="0.2">
      <c r="C936" s="53"/>
      <c r="D936" s="53"/>
      <c r="E936" s="53"/>
    </row>
    <row r="937" spans="3:5" x14ac:dyDescent="0.2">
      <c r="C937" s="53"/>
      <c r="D937" s="53"/>
      <c r="E937" s="53"/>
    </row>
    <row r="938" spans="3:5" x14ac:dyDescent="0.2">
      <c r="C938" s="53"/>
      <c r="D938" s="53"/>
      <c r="E938" s="53"/>
    </row>
    <row r="939" spans="3:5" x14ac:dyDescent="0.2">
      <c r="C939" s="53"/>
      <c r="D939" s="53"/>
      <c r="E939" s="53"/>
    </row>
    <row r="940" spans="3:5" x14ac:dyDescent="0.2">
      <c r="C940" s="53"/>
      <c r="D940" s="53"/>
      <c r="E940" s="53"/>
    </row>
    <row r="941" spans="3:5" x14ac:dyDescent="0.2">
      <c r="C941" s="53"/>
      <c r="D941" s="53"/>
      <c r="E941" s="53"/>
    </row>
    <row r="942" spans="3:5" x14ac:dyDescent="0.2">
      <c r="C942" s="53"/>
      <c r="D942" s="53"/>
      <c r="E942" s="53"/>
    </row>
    <row r="943" spans="3:5" x14ac:dyDescent="0.2">
      <c r="C943" s="53"/>
      <c r="D943" s="53"/>
      <c r="E943" s="53"/>
    </row>
    <row r="944" spans="3:5" x14ac:dyDescent="0.2">
      <c r="C944" s="53"/>
      <c r="D944" s="53"/>
      <c r="E944" s="53"/>
    </row>
    <row r="945" spans="3:5" x14ac:dyDescent="0.2">
      <c r="C945" s="53"/>
      <c r="D945" s="53"/>
      <c r="E945" s="53"/>
    </row>
    <row r="946" spans="3:5" x14ac:dyDescent="0.2">
      <c r="C946" s="53"/>
      <c r="D946" s="53"/>
      <c r="E946" s="53"/>
    </row>
    <row r="947" spans="3:5" x14ac:dyDescent="0.2">
      <c r="C947" s="53"/>
      <c r="D947" s="53"/>
      <c r="E947" s="53"/>
    </row>
    <row r="948" spans="3:5" x14ac:dyDescent="0.2">
      <c r="C948" s="53"/>
      <c r="D948" s="53"/>
      <c r="E948" s="53"/>
    </row>
    <row r="949" spans="3:5" x14ac:dyDescent="0.2">
      <c r="C949" s="53"/>
      <c r="D949" s="53"/>
      <c r="E949" s="53"/>
    </row>
    <row r="950" spans="3:5" x14ac:dyDescent="0.2">
      <c r="C950" s="53"/>
      <c r="D950" s="53"/>
      <c r="E950" s="53"/>
    </row>
    <row r="951" spans="3:5" x14ac:dyDescent="0.2">
      <c r="C951" s="53"/>
      <c r="D951" s="53"/>
      <c r="E951" s="53"/>
    </row>
    <row r="952" spans="3:5" x14ac:dyDescent="0.2">
      <c r="C952" s="53"/>
      <c r="D952" s="53"/>
      <c r="E952" s="53"/>
    </row>
    <row r="953" spans="3:5" x14ac:dyDescent="0.2">
      <c r="C953" s="53"/>
      <c r="D953" s="53"/>
      <c r="E953" s="53"/>
    </row>
    <row r="954" spans="3:5" x14ac:dyDescent="0.2">
      <c r="C954" s="53"/>
      <c r="D954" s="53"/>
      <c r="E954" s="53"/>
    </row>
    <row r="955" spans="3:5" x14ac:dyDescent="0.2">
      <c r="C955" s="53"/>
      <c r="D955" s="53"/>
      <c r="E955" s="53"/>
    </row>
    <row r="956" spans="3:5" x14ac:dyDescent="0.2">
      <c r="C956" s="53"/>
      <c r="D956" s="53"/>
      <c r="E956" s="53"/>
    </row>
    <row r="957" spans="3:5" x14ac:dyDescent="0.2">
      <c r="C957" s="53"/>
      <c r="D957" s="53"/>
      <c r="E957" s="53"/>
    </row>
    <row r="958" spans="3:5" x14ac:dyDescent="0.2">
      <c r="C958" s="53"/>
      <c r="D958" s="53"/>
      <c r="E958" s="53"/>
    </row>
    <row r="959" spans="3:5" x14ac:dyDescent="0.2">
      <c r="C959" s="53"/>
      <c r="D959" s="53"/>
      <c r="E959" s="53"/>
    </row>
    <row r="960" spans="3:5" x14ac:dyDescent="0.2">
      <c r="C960" s="53"/>
      <c r="D960" s="53"/>
      <c r="E960" s="53"/>
    </row>
    <row r="961" spans="3:5" x14ac:dyDescent="0.2">
      <c r="C961" s="53"/>
      <c r="D961" s="53"/>
      <c r="E961" s="53"/>
    </row>
    <row r="962" spans="3:5" x14ac:dyDescent="0.2">
      <c r="C962" s="53"/>
      <c r="D962" s="53"/>
      <c r="E962" s="53"/>
    </row>
    <row r="963" spans="3:5" x14ac:dyDescent="0.2">
      <c r="C963" s="53"/>
      <c r="D963" s="53"/>
      <c r="E963" s="53"/>
    </row>
    <row r="964" spans="3:5" x14ac:dyDescent="0.2">
      <c r="C964" s="53"/>
      <c r="D964" s="53"/>
      <c r="E964" s="53"/>
    </row>
    <row r="965" spans="3:5" x14ac:dyDescent="0.2">
      <c r="C965" s="53"/>
      <c r="D965" s="53"/>
      <c r="E965" s="53"/>
    </row>
    <row r="966" spans="3:5" x14ac:dyDescent="0.2">
      <c r="C966" s="53"/>
      <c r="D966" s="53"/>
      <c r="E966" s="53"/>
    </row>
    <row r="967" spans="3:5" x14ac:dyDescent="0.2">
      <c r="C967" s="53"/>
      <c r="D967" s="53"/>
      <c r="E967" s="53"/>
    </row>
    <row r="968" spans="3:5" x14ac:dyDescent="0.2">
      <c r="C968" s="53"/>
      <c r="D968" s="53"/>
      <c r="E968" s="53"/>
    </row>
    <row r="969" spans="3:5" x14ac:dyDescent="0.2">
      <c r="C969" s="53"/>
      <c r="D969" s="53"/>
      <c r="E969" s="53"/>
    </row>
    <row r="970" spans="3:5" x14ac:dyDescent="0.2">
      <c r="C970" s="53"/>
      <c r="D970" s="53"/>
      <c r="E970" s="53"/>
    </row>
    <row r="971" spans="3:5" x14ac:dyDescent="0.2">
      <c r="C971" s="53"/>
      <c r="D971" s="53"/>
      <c r="E971" s="53"/>
    </row>
    <row r="972" spans="3:5" x14ac:dyDescent="0.2">
      <c r="C972" s="53"/>
      <c r="D972" s="53"/>
      <c r="E972" s="53"/>
    </row>
    <row r="973" spans="3:5" x14ac:dyDescent="0.2">
      <c r="C973" s="53"/>
      <c r="D973" s="53"/>
      <c r="E973" s="53"/>
    </row>
    <row r="974" spans="3:5" x14ac:dyDescent="0.2">
      <c r="C974" s="53"/>
      <c r="D974" s="53"/>
      <c r="E974" s="53"/>
    </row>
    <row r="975" spans="3:5" x14ac:dyDescent="0.2">
      <c r="C975" s="53"/>
      <c r="D975" s="53"/>
      <c r="E975" s="53"/>
    </row>
    <row r="976" spans="3:5" x14ac:dyDescent="0.2">
      <c r="C976" s="53"/>
      <c r="D976" s="53"/>
      <c r="E976" s="53"/>
    </row>
    <row r="977" spans="3:5" x14ac:dyDescent="0.2">
      <c r="C977" s="53"/>
      <c r="D977" s="53"/>
      <c r="E977" s="53"/>
    </row>
    <row r="978" spans="3:5" x14ac:dyDescent="0.2">
      <c r="C978" s="53"/>
      <c r="D978" s="53"/>
      <c r="E978" s="53"/>
    </row>
    <row r="979" spans="3:5" x14ac:dyDescent="0.2">
      <c r="C979" s="53"/>
      <c r="D979" s="53"/>
      <c r="E979" s="53"/>
    </row>
    <row r="980" spans="3:5" x14ac:dyDescent="0.2">
      <c r="C980" s="53"/>
      <c r="D980" s="53"/>
      <c r="E980" s="53"/>
    </row>
    <row r="981" spans="3:5" x14ac:dyDescent="0.2">
      <c r="C981" s="53"/>
      <c r="D981" s="53"/>
      <c r="E981" s="53"/>
    </row>
    <row r="982" spans="3:5" x14ac:dyDescent="0.2">
      <c r="C982" s="53"/>
      <c r="D982" s="53"/>
      <c r="E982" s="53"/>
    </row>
    <row r="983" spans="3:5" x14ac:dyDescent="0.2">
      <c r="C983" s="53"/>
      <c r="D983" s="53"/>
      <c r="E983" s="53"/>
    </row>
    <row r="984" spans="3:5" x14ac:dyDescent="0.2">
      <c r="C984" s="53"/>
      <c r="D984" s="53"/>
      <c r="E984" s="53"/>
    </row>
    <row r="985" spans="3:5" x14ac:dyDescent="0.2">
      <c r="C985" s="53"/>
      <c r="D985" s="53"/>
      <c r="E985" s="53"/>
    </row>
    <row r="986" spans="3:5" x14ac:dyDescent="0.2">
      <c r="C986" s="53"/>
      <c r="D986" s="53"/>
      <c r="E986" s="53"/>
    </row>
    <row r="987" spans="3:5" x14ac:dyDescent="0.2">
      <c r="C987" s="53"/>
      <c r="D987" s="53"/>
      <c r="E987" s="53"/>
    </row>
    <row r="988" spans="3:5" x14ac:dyDescent="0.2">
      <c r="C988" s="53"/>
      <c r="D988" s="53"/>
      <c r="E988" s="53"/>
    </row>
    <row r="989" spans="3:5" x14ac:dyDescent="0.2">
      <c r="C989" s="53"/>
      <c r="D989" s="53"/>
      <c r="E989" s="53"/>
    </row>
    <row r="990" spans="3:5" x14ac:dyDescent="0.2">
      <c r="C990" s="53"/>
      <c r="D990" s="53"/>
      <c r="E990" s="53"/>
    </row>
    <row r="991" spans="3:5" x14ac:dyDescent="0.2">
      <c r="C991" s="53"/>
      <c r="D991" s="53"/>
      <c r="E991" s="53"/>
    </row>
    <row r="992" spans="3:5" x14ac:dyDescent="0.2">
      <c r="C992" s="53"/>
      <c r="D992" s="53"/>
      <c r="E992" s="53"/>
    </row>
    <row r="993" spans="3:5" x14ac:dyDescent="0.2">
      <c r="C993" s="53"/>
      <c r="D993" s="53"/>
      <c r="E993" s="53"/>
    </row>
    <row r="994" spans="3:5" x14ac:dyDescent="0.2">
      <c r="C994" s="53"/>
      <c r="D994" s="53"/>
      <c r="E994" s="53"/>
    </row>
    <row r="995" spans="3:5" x14ac:dyDescent="0.2">
      <c r="C995" s="53"/>
      <c r="D995" s="53"/>
      <c r="E995" s="53"/>
    </row>
    <row r="996" spans="3:5" x14ac:dyDescent="0.2">
      <c r="C996" s="53"/>
      <c r="D996" s="53"/>
      <c r="E996" s="53"/>
    </row>
    <row r="997" spans="3:5" x14ac:dyDescent="0.2">
      <c r="C997" s="53"/>
      <c r="D997" s="53"/>
      <c r="E997" s="53"/>
    </row>
    <row r="998" spans="3:5" x14ac:dyDescent="0.2">
      <c r="C998" s="53"/>
      <c r="D998" s="53"/>
      <c r="E998" s="53"/>
    </row>
    <row r="999" spans="3:5" x14ac:dyDescent="0.2">
      <c r="C999" s="53"/>
      <c r="D999" s="53"/>
      <c r="E999" s="53"/>
    </row>
    <row r="1000" spans="3:5" x14ac:dyDescent="0.2">
      <c r="C1000" s="53"/>
      <c r="D1000" s="53"/>
      <c r="E1000" s="53"/>
    </row>
    <row r="1001" spans="3:5" x14ac:dyDescent="0.2">
      <c r="C1001" s="53"/>
      <c r="D1001" s="53"/>
      <c r="E1001" s="53"/>
    </row>
    <row r="1002" spans="3:5" x14ac:dyDescent="0.2">
      <c r="C1002" s="53"/>
      <c r="D1002" s="53"/>
      <c r="E1002" s="53"/>
    </row>
    <row r="1003" spans="3:5" x14ac:dyDescent="0.2">
      <c r="C1003" s="53"/>
      <c r="D1003" s="53"/>
      <c r="E1003" s="53"/>
    </row>
    <row r="1004" spans="3:5" x14ac:dyDescent="0.2">
      <c r="C1004" s="53"/>
      <c r="D1004" s="53"/>
      <c r="E1004" s="53"/>
    </row>
    <row r="1005" spans="3:5" x14ac:dyDescent="0.2">
      <c r="C1005" s="53"/>
      <c r="D1005" s="53"/>
      <c r="E1005" s="53"/>
    </row>
    <row r="1006" spans="3:5" x14ac:dyDescent="0.2">
      <c r="C1006" s="53"/>
      <c r="D1006" s="53"/>
      <c r="E1006" s="53"/>
    </row>
    <row r="1007" spans="3:5" x14ac:dyDescent="0.2">
      <c r="C1007" s="53"/>
      <c r="D1007" s="53"/>
      <c r="E1007" s="53"/>
    </row>
    <row r="1008" spans="3:5" x14ac:dyDescent="0.2">
      <c r="C1008" s="53"/>
      <c r="D1008" s="53"/>
      <c r="E1008" s="53"/>
    </row>
    <row r="1009" spans="3:5" x14ac:dyDescent="0.2">
      <c r="C1009" s="53"/>
      <c r="D1009" s="53"/>
      <c r="E1009" s="53"/>
    </row>
    <row r="1010" spans="3:5" x14ac:dyDescent="0.2">
      <c r="C1010" s="53"/>
      <c r="D1010" s="53"/>
      <c r="E1010" s="53"/>
    </row>
    <row r="1011" spans="3:5" x14ac:dyDescent="0.2">
      <c r="C1011" s="53"/>
      <c r="D1011" s="53"/>
      <c r="E1011" s="53"/>
    </row>
    <row r="1012" spans="3:5" x14ac:dyDescent="0.2">
      <c r="C1012" s="53"/>
      <c r="D1012" s="53"/>
      <c r="E1012" s="53"/>
    </row>
    <row r="1013" spans="3:5" x14ac:dyDescent="0.2">
      <c r="C1013" s="53"/>
      <c r="D1013" s="53"/>
      <c r="E1013" s="53"/>
    </row>
    <row r="1014" spans="3:5" x14ac:dyDescent="0.2">
      <c r="C1014" s="53"/>
      <c r="D1014" s="53"/>
      <c r="E1014" s="53"/>
    </row>
    <row r="1015" spans="3:5" x14ac:dyDescent="0.2">
      <c r="C1015" s="53"/>
      <c r="D1015" s="53"/>
      <c r="E1015" s="53"/>
    </row>
    <row r="1016" spans="3:5" x14ac:dyDescent="0.2">
      <c r="C1016" s="53"/>
      <c r="D1016" s="53"/>
      <c r="E1016" s="53"/>
    </row>
    <row r="1017" spans="3:5" x14ac:dyDescent="0.2">
      <c r="C1017" s="53"/>
      <c r="D1017" s="53"/>
      <c r="E1017" s="53"/>
    </row>
    <row r="1018" spans="3:5" x14ac:dyDescent="0.2">
      <c r="C1018" s="53"/>
      <c r="D1018" s="53"/>
      <c r="E1018" s="53"/>
    </row>
    <row r="1019" spans="3:5" x14ac:dyDescent="0.2">
      <c r="C1019" s="53"/>
      <c r="D1019" s="53"/>
      <c r="E1019" s="53"/>
    </row>
    <row r="1020" spans="3:5" x14ac:dyDescent="0.2">
      <c r="C1020" s="53"/>
      <c r="D1020" s="53"/>
      <c r="E1020" s="53"/>
    </row>
    <row r="1021" spans="3:5" x14ac:dyDescent="0.2">
      <c r="C1021" s="53"/>
      <c r="D1021" s="53"/>
      <c r="E1021" s="53"/>
    </row>
    <row r="1022" spans="3:5" x14ac:dyDescent="0.2">
      <c r="C1022" s="53"/>
      <c r="D1022" s="53"/>
      <c r="E1022" s="53"/>
    </row>
    <row r="1023" spans="3:5" x14ac:dyDescent="0.2">
      <c r="C1023" s="53"/>
      <c r="D1023" s="53"/>
      <c r="E1023" s="53"/>
    </row>
    <row r="1024" spans="3:5" x14ac:dyDescent="0.2">
      <c r="C1024" s="53"/>
      <c r="D1024" s="53"/>
      <c r="E1024" s="53"/>
    </row>
    <row r="1025" spans="3:5" x14ac:dyDescent="0.2">
      <c r="C1025" s="53"/>
      <c r="D1025" s="53"/>
      <c r="E1025" s="53"/>
    </row>
    <row r="1026" spans="3:5" x14ac:dyDescent="0.2">
      <c r="C1026" s="53"/>
      <c r="D1026" s="53"/>
      <c r="E1026" s="53"/>
    </row>
    <row r="1027" spans="3:5" x14ac:dyDescent="0.2">
      <c r="C1027" s="53"/>
      <c r="D1027" s="53"/>
      <c r="E1027" s="53"/>
    </row>
    <row r="1028" spans="3:5" x14ac:dyDescent="0.2">
      <c r="C1028" s="53"/>
      <c r="D1028" s="53"/>
      <c r="E1028" s="53"/>
    </row>
    <row r="1029" spans="3:5" x14ac:dyDescent="0.2">
      <c r="C1029" s="53"/>
      <c r="D1029" s="53"/>
      <c r="E1029" s="53"/>
    </row>
    <row r="1030" spans="3:5" x14ac:dyDescent="0.2">
      <c r="C1030" s="53"/>
      <c r="D1030" s="53"/>
      <c r="E1030" s="53"/>
    </row>
    <row r="1031" spans="3:5" x14ac:dyDescent="0.2">
      <c r="C1031" s="53"/>
      <c r="D1031" s="53"/>
      <c r="E1031" s="53"/>
    </row>
    <row r="1032" spans="3:5" x14ac:dyDescent="0.2">
      <c r="C1032" s="53"/>
      <c r="D1032" s="53"/>
      <c r="E1032" s="53"/>
    </row>
    <row r="1033" spans="3:5" x14ac:dyDescent="0.2">
      <c r="C1033" s="53"/>
      <c r="D1033" s="53"/>
      <c r="E1033" s="53"/>
    </row>
    <row r="1034" spans="3:5" x14ac:dyDescent="0.2">
      <c r="C1034" s="53"/>
      <c r="D1034" s="53"/>
      <c r="E1034" s="53"/>
    </row>
    <row r="1035" spans="3:5" x14ac:dyDescent="0.2">
      <c r="C1035" s="53"/>
      <c r="D1035" s="53"/>
      <c r="E1035" s="53"/>
    </row>
    <row r="1036" spans="3:5" x14ac:dyDescent="0.2">
      <c r="C1036" s="53"/>
      <c r="D1036" s="53"/>
      <c r="E1036" s="53"/>
    </row>
    <row r="1037" spans="3:5" x14ac:dyDescent="0.2">
      <c r="C1037" s="53"/>
      <c r="D1037" s="53"/>
      <c r="E1037" s="53"/>
    </row>
    <row r="1038" spans="3:5" x14ac:dyDescent="0.2">
      <c r="C1038" s="53"/>
      <c r="D1038" s="53"/>
      <c r="E1038" s="53"/>
    </row>
    <row r="1039" spans="3:5" x14ac:dyDescent="0.2">
      <c r="C1039" s="53"/>
      <c r="D1039" s="53"/>
      <c r="E1039" s="53"/>
    </row>
    <row r="1040" spans="3:5" x14ac:dyDescent="0.2">
      <c r="C1040" s="53"/>
      <c r="D1040" s="53"/>
      <c r="E1040" s="53"/>
    </row>
    <row r="1041" spans="3:5" x14ac:dyDescent="0.2">
      <c r="C1041" s="53"/>
      <c r="D1041" s="53"/>
      <c r="E1041" s="53"/>
    </row>
    <row r="1042" spans="3:5" x14ac:dyDescent="0.2">
      <c r="C1042" s="53"/>
      <c r="D1042" s="53"/>
      <c r="E1042" s="53"/>
    </row>
    <row r="1043" spans="3:5" x14ac:dyDescent="0.2">
      <c r="C1043" s="53"/>
      <c r="D1043" s="53"/>
      <c r="E1043" s="53"/>
    </row>
    <row r="1044" spans="3:5" x14ac:dyDescent="0.2">
      <c r="C1044" s="53"/>
      <c r="D1044" s="53"/>
      <c r="E1044" s="53"/>
    </row>
    <row r="1045" spans="3:5" x14ac:dyDescent="0.2">
      <c r="C1045" s="53"/>
      <c r="D1045" s="53"/>
      <c r="E1045" s="53"/>
    </row>
    <row r="1046" spans="3:5" x14ac:dyDescent="0.2">
      <c r="C1046" s="53"/>
      <c r="D1046" s="53"/>
      <c r="E1046" s="53"/>
    </row>
    <row r="1047" spans="3:5" x14ac:dyDescent="0.2">
      <c r="C1047" s="53"/>
      <c r="D1047" s="53"/>
      <c r="E1047" s="53"/>
    </row>
    <row r="1048" spans="3:5" x14ac:dyDescent="0.2">
      <c r="C1048" s="53"/>
      <c r="D1048" s="53"/>
      <c r="E1048" s="53"/>
    </row>
    <row r="1049" spans="3:5" x14ac:dyDescent="0.2">
      <c r="C1049" s="53"/>
      <c r="D1049" s="53"/>
      <c r="E1049" s="53"/>
    </row>
    <row r="1050" spans="3:5" x14ac:dyDescent="0.2">
      <c r="C1050" s="53"/>
      <c r="D1050" s="53"/>
      <c r="E1050" s="53"/>
    </row>
    <row r="1051" spans="3:5" x14ac:dyDescent="0.2">
      <c r="C1051" s="53"/>
      <c r="D1051" s="53"/>
      <c r="E1051" s="53"/>
    </row>
    <row r="1052" spans="3:5" x14ac:dyDescent="0.2">
      <c r="C1052" s="53"/>
      <c r="D1052" s="53"/>
      <c r="E1052" s="53"/>
    </row>
    <row r="1053" spans="3:5" x14ac:dyDescent="0.2">
      <c r="C1053" s="53"/>
      <c r="D1053" s="53"/>
      <c r="E1053" s="53"/>
    </row>
    <row r="1054" spans="3:5" x14ac:dyDescent="0.2">
      <c r="C1054" s="53"/>
      <c r="D1054" s="53"/>
      <c r="E1054" s="53"/>
    </row>
    <row r="1055" spans="3:5" x14ac:dyDescent="0.2">
      <c r="C1055" s="53"/>
      <c r="D1055" s="53"/>
      <c r="E1055" s="53"/>
    </row>
    <row r="1056" spans="3:5" x14ac:dyDescent="0.2">
      <c r="C1056" s="53"/>
      <c r="D1056" s="53"/>
      <c r="E1056" s="53"/>
    </row>
    <row r="1057" spans="3:5" x14ac:dyDescent="0.2">
      <c r="C1057" s="53"/>
      <c r="D1057" s="53"/>
      <c r="E1057" s="53"/>
    </row>
    <row r="1058" spans="3:5" x14ac:dyDescent="0.2">
      <c r="C1058" s="53"/>
      <c r="D1058" s="53"/>
      <c r="E1058" s="53"/>
    </row>
    <row r="1059" spans="3:5" x14ac:dyDescent="0.2">
      <c r="C1059" s="53"/>
      <c r="D1059" s="53"/>
      <c r="E1059" s="53"/>
    </row>
    <row r="1060" spans="3:5" x14ac:dyDescent="0.2">
      <c r="C1060" s="53"/>
      <c r="D1060" s="53"/>
      <c r="E1060" s="53"/>
    </row>
    <row r="1061" spans="3:5" x14ac:dyDescent="0.2">
      <c r="C1061" s="53"/>
      <c r="D1061" s="53"/>
      <c r="E1061" s="53"/>
    </row>
    <row r="1062" spans="3:5" x14ac:dyDescent="0.2">
      <c r="C1062" s="53"/>
      <c r="D1062" s="53"/>
      <c r="E1062" s="53"/>
    </row>
    <row r="1063" spans="3:5" x14ac:dyDescent="0.2">
      <c r="C1063" s="53"/>
      <c r="D1063" s="53"/>
      <c r="E1063" s="53"/>
    </row>
    <row r="1064" spans="3:5" x14ac:dyDescent="0.2">
      <c r="C1064" s="53"/>
      <c r="D1064" s="53"/>
      <c r="E1064" s="53"/>
    </row>
    <row r="1065" spans="3:5" x14ac:dyDescent="0.2">
      <c r="C1065" s="53"/>
      <c r="D1065" s="53"/>
      <c r="E1065" s="53"/>
    </row>
    <row r="1066" spans="3:5" x14ac:dyDescent="0.2">
      <c r="C1066" s="53"/>
      <c r="D1066" s="53"/>
      <c r="E1066" s="53"/>
    </row>
    <row r="1067" spans="3:5" x14ac:dyDescent="0.2">
      <c r="C1067" s="53"/>
      <c r="D1067" s="53"/>
      <c r="E1067" s="53"/>
    </row>
    <row r="1068" spans="3:5" x14ac:dyDescent="0.2">
      <c r="C1068" s="53"/>
      <c r="D1068" s="53"/>
      <c r="E1068" s="53"/>
    </row>
    <row r="1069" spans="3:5" x14ac:dyDescent="0.2">
      <c r="C1069" s="53"/>
      <c r="D1069" s="53"/>
      <c r="E1069" s="53"/>
    </row>
    <row r="1070" spans="3:5" x14ac:dyDescent="0.2">
      <c r="C1070" s="53"/>
      <c r="D1070" s="53"/>
      <c r="E1070" s="53"/>
    </row>
    <row r="1071" spans="3:5" x14ac:dyDescent="0.2">
      <c r="C1071" s="53"/>
      <c r="D1071" s="53"/>
      <c r="E1071" s="53"/>
    </row>
    <row r="1072" spans="3:5" x14ac:dyDescent="0.2">
      <c r="C1072" s="53"/>
      <c r="D1072" s="53"/>
      <c r="E1072" s="53"/>
    </row>
    <row r="1073" spans="3:7" x14ac:dyDescent="0.2">
      <c r="C1073" s="53"/>
      <c r="D1073" s="53"/>
      <c r="E1073" s="53"/>
    </row>
    <row r="1074" spans="3:7" x14ac:dyDescent="0.2">
      <c r="C1074" s="53"/>
      <c r="D1074" s="53"/>
      <c r="E1074" s="53"/>
    </row>
    <row r="1075" spans="3:7" x14ac:dyDescent="0.2">
      <c r="C1075" s="53"/>
      <c r="D1075" s="53"/>
      <c r="E1075" s="53"/>
    </row>
    <row r="1076" spans="3:7" x14ac:dyDescent="0.2">
      <c r="C1076" s="53"/>
      <c r="D1076" s="53"/>
      <c r="E1076" s="53"/>
    </row>
    <row r="1077" spans="3:7" x14ac:dyDescent="0.2">
      <c r="C1077" s="53"/>
      <c r="D1077" s="53"/>
      <c r="E1077" s="53"/>
    </row>
    <row r="1078" spans="3:7" x14ac:dyDescent="0.2">
      <c r="C1078" s="53"/>
      <c r="D1078" s="53"/>
      <c r="E1078" s="53"/>
    </row>
    <row r="1079" spans="3:7" x14ac:dyDescent="0.2">
      <c r="C1079" s="53"/>
      <c r="D1079" s="53"/>
      <c r="E1079" s="53"/>
      <c r="G1079" s="53"/>
    </row>
    <row r="1080" spans="3:7" x14ac:dyDescent="0.2">
      <c r="C1080" s="53"/>
      <c r="D1080" s="53"/>
      <c r="E1080" s="53"/>
    </row>
    <row r="1081" spans="3:7" x14ac:dyDescent="0.2">
      <c r="C1081" s="53"/>
      <c r="D1081" s="53"/>
      <c r="E1081" s="53"/>
    </row>
    <row r="1082" spans="3:7" x14ac:dyDescent="0.2">
      <c r="C1082" s="53"/>
      <c r="D1082" s="53"/>
      <c r="E1082" s="53"/>
    </row>
    <row r="1083" spans="3:7" x14ac:dyDescent="0.2">
      <c r="C1083" s="53"/>
      <c r="D1083" s="53"/>
      <c r="E1083" s="53"/>
    </row>
    <row r="1084" spans="3:7" x14ac:dyDescent="0.2">
      <c r="C1084" s="53"/>
      <c r="D1084" s="53"/>
      <c r="E1084" s="53"/>
    </row>
    <row r="1085" spans="3:7" x14ac:dyDescent="0.2">
      <c r="C1085" s="53"/>
      <c r="D1085" s="53"/>
      <c r="E1085" s="53"/>
    </row>
    <row r="1086" spans="3:7" x14ac:dyDescent="0.2">
      <c r="C1086" s="53"/>
      <c r="D1086" s="53"/>
      <c r="E1086" s="53"/>
    </row>
    <row r="1087" spans="3:7" x14ac:dyDescent="0.2">
      <c r="C1087" s="53"/>
      <c r="D1087" s="53"/>
      <c r="E1087" s="53"/>
    </row>
    <row r="1088" spans="3:7" x14ac:dyDescent="0.2">
      <c r="C1088" s="53"/>
      <c r="D1088" s="53"/>
      <c r="E1088" s="53"/>
    </row>
    <row r="1089" spans="3:5" x14ac:dyDescent="0.2">
      <c r="C1089" s="53"/>
      <c r="D1089" s="53"/>
      <c r="E1089" s="53"/>
    </row>
    <row r="1090" spans="3:5" x14ac:dyDescent="0.2">
      <c r="C1090" s="53"/>
      <c r="D1090" s="53"/>
      <c r="E1090" s="53"/>
    </row>
    <row r="1091" spans="3:5" x14ac:dyDescent="0.2">
      <c r="C1091" s="53"/>
      <c r="D1091" s="53"/>
      <c r="E1091" s="53"/>
    </row>
    <row r="1092" spans="3:5" x14ac:dyDescent="0.2">
      <c r="C1092" s="53"/>
      <c r="D1092" s="53"/>
      <c r="E1092" s="53"/>
    </row>
    <row r="1093" spans="3:5" x14ac:dyDescent="0.2">
      <c r="C1093" s="53"/>
      <c r="D1093" s="53"/>
      <c r="E1093" s="53"/>
    </row>
    <row r="1094" spans="3:5" x14ac:dyDescent="0.2">
      <c r="C1094" s="53"/>
      <c r="D1094" s="53"/>
      <c r="E1094" s="53"/>
    </row>
    <row r="1095" spans="3:5" x14ac:dyDescent="0.2">
      <c r="C1095" s="53"/>
      <c r="D1095" s="53"/>
      <c r="E1095" s="53"/>
    </row>
    <row r="1096" spans="3:5" x14ac:dyDescent="0.2">
      <c r="C1096" s="53"/>
      <c r="D1096" s="53"/>
      <c r="E1096" s="53"/>
    </row>
    <row r="1097" spans="3:5" x14ac:dyDescent="0.2">
      <c r="C1097" s="53"/>
      <c r="D1097" s="53"/>
      <c r="E1097" s="53"/>
    </row>
    <row r="1098" spans="3:5" x14ac:dyDescent="0.2">
      <c r="C1098" s="53"/>
      <c r="D1098" s="53"/>
      <c r="E1098" s="53"/>
    </row>
    <row r="1099" spans="3:5" x14ac:dyDescent="0.2">
      <c r="C1099" s="53"/>
      <c r="D1099" s="53"/>
      <c r="E1099" s="53"/>
    </row>
    <row r="1100" spans="3:5" x14ac:dyDescent="0.2">
      <c r="C1100" s="53"/>
      <c r="D1100" s="53"/>
      <c r="E1100" s="53"/>
    </row>
    <row r="1101" spans="3:5" x14ac:dyDescent="0.2">
      <c r="C1101" s="53"/>
      <c r="D1101" s="53"/>
      <c r="E1101" s="53"/>
    </row>
    <row r="1102" spans="3:5" x14ac:dyDescent="0.2">
      <c r="C1102" s="53"/>
      <c r="D1102" s="53"/>
      <c r="E1102" s="53"/>
    </row>
    <row r="1103" spans="3:5" x14ac:dyDescent="0.2">
      <c r="C1103" s="53"/>
      <c r="D1103" s="53"/>
      <c r="E1103" s="53"/>
    </row>
    <row r="1104" spans="3:5" x14ac:dyDescent="0.2">
      <c r="C1104" s="53"/>
      <c r="D1104" s="53"/>
      <c r="E1104" s="53"/>
    </row>
    <row r="1105" spans="3:5" x14ac:dyDescent="0.2">
      <c r="C1105" s="53"/>
      <c r="D1105" s="53"/>
      <c r="E1105" s="53"/>
    </row>
    <row r="1106" spans="3:5" x14ac:dyDescent="0.2">
      <c r="C1106" s="53"/>
      <c r="D1106" s="53"/>
      <c r="E1106" s="53"/>
    </row>
    <row r="1107" spans="3:5" x14ac:dyDescent="0.2">
      <c r="C1107" s="53"/>
      <c r="D1107" s="53"/>
      <c r="E1107" s="53"/>
    </row>
    <row r="1108" spans="3:5" x14ac:dyDescent="0.2">
      <c r="C1108" s="53"/>
      <c r="D1108" s="53"/>
      <c r="E1108" s="53"/>
    </row>
    <row r="1109" spans="3:5" x14ac:dyDescent="0.2">
      <c r="C1109" s="53"/>
      <c r="D1109" s="53"/>
      <c r="E1109" s="53"/>
    </row>
    <row r="1110" spans="3:5" x14ac:dyDescent="0.2">
      <c r="C1110" s="53"/>
      <c r="D1110" s="53"/>
      <c r="E1110" s="53"/>
    </row>
    <row r="1111" spans="3:5" x14ac:dyDescent="0.2">
      <c r="C1111" s="53"/>
      <c r="D1111" s="53"/>
      <c r="E1111" s="53"/>
    </row>
    <row r="1112" spans="3:5" x14ac:dyDescent="0.2">
      <c r="C1112" s="53"/>
      <c r="D1112" s="53"/>
      <c r="E1112" s="53"/>
    </row>
    <row r="1113" spans="3:5" x14ac:dyDescent="0.2">
      <c r="C1113" s="53"/>
      <c r="D1113" s="53"/>
      <c r="E1113" s="53"/>
    </row>
    <row r="1114" spans="3:5" x14ac:dyDescent="0.2">
      <c r="C1114" s="53"/>
      <c r="D1114" s="53"/>
      <c r="E1114" s="53"/>
    </row>
    <row r="1115" spans="3:5" x14ac:dyDescent="0.2">
      <c r="C1115" s="53"/>
      <c r="D1115" s="53"/>
      <c r="E1115" s="53"/>
    </row>
    <row r="1116" spans="3:5" x14ac:dyDescent="0.2">
      <c r="C1116" s="53"/>
      <c r="D1116" s="53"/>
      <c r="E1116" s="53"/>
    </row>
    <row r="1117" spans="3:5" x14ac:dyDescent="0.2">
      <c r="C1117" s="53"/>
      <c r="D1117" s="53"/>
      <c r="E1117" s="53"/>
    </row>
    <row r="1118" spans="3:5" x14ac:dyDescent="0.2">
      <c r="C1118" s="53"/>
      <c r="D1118" s="53"/>
      <c r="E1118" s="53"/>
    </row>
    <row r="1119" spans="3:5" x14ac:dyDescent="0.2">
      <c r="C1119" s="53"/>
      <c r="D1119" s="53"/>
      <c r="E1119" s="53"/>
    </row>
    <row r="1120" spans="3:5" x14ac:dyDescent="0.2">
      <c r="C1120" s="53"/>
      <c r="D1120" s="53"/>
      <c r="E1120" s="53"/>
    </row>
    <row r="1121" spans="3:5" x14ac:dyDescent="0.2">
      <c r="C1121" s="53"/>
      <c r="D1121" s="53"/>
      <c r="E1121" s="53"/>
    </row>
    <row r="1122" spans="3:5" x14ac:dyDescent="0.2">
      <c r="C1122" s="53"/>
      <c r="D1122" s="53"/>
      <c r="E1122" s="53"/>
    </row>
    <row r="1123" spans="3:5" x14ac:dyDescent="0.2">
      <c r="C1123" s="53"/>
      <c r="D1123" s="53"/>
      <c r="E1123" s="53"/>
    </row>
    <row r="1124" spans="3:5" x14ac:dyDescent="0.2">
      <c r="C1124" s="53"/>
      <c r="D1124" s="53"/>
      <c r="E1124" s="53"/>
    </row>
    <row r="1125" spans="3:5" x14ac:dyDescent="0.2">
      <c r="C1125" s="53"/>
      <c r="D1125" s="53"/>
      <c r="E1125" s="53"/>
    </row>
    <row r="1126" spans="3:5" x14ac:dyDescent="0.2">
      <c r="C1126" s="53"/>
      <c r="D1126" s="53"/>
      <c r="E1126" s="53"/>
    </row>
    <row r="1127" spans="3:5" x14ac:dyDescent="0.2">
      <c r="C1127" s="53"/>
      <c r="D1127" s="53"/>
      <c r="E1127" s="53"/>
    </row>
    <row r="1128" spans="3:5" x14ac:dyDescent="0.2">
      <c r="C1128" s="53"/>
      <c r="D1128" s="53"/>
      <c r="E1128" s="53"/>
    </row>
    <row r="1129" spans="3:5" x14ac:dyDescent="0.2">
      <c r="C1129" s="53"/>
      <c r="D1129" s="53"/>
      <c r="E1129" s="53"/>
    </row>
    <row r="1130" spans="3:5" x14ac:dyDescent="0.2">
      <c r="C1130" s="53"/>
      <c r="D1130" s="53"/>
      <c r="E1130" s="53"/>
    </row>
    <row r="1131" spans="3:5" x14ac:dyDescent="0.2">
      <c r="C1131" s="53"/>
      <c r="D1131" s="53"/>
      <c r="E1131" s="53"/>
    </row>
    <row r="1132" spans="3:5" x14ac:dyDescent="0.2">
      <c r="C1132" s="53"/>
      <c r="D1132" s="53"/>
      <c r="E1132" s="53"/>
    </row>
    <row r="1133" spans="3:5" x14ac:dyDescent="0.2">
      <c r="C1133" s="53"/>
      <c r="D1133" s="53"/>
      <c r="E1133" s="53"/>
    </row>
    <row r="1134" spans="3:5" x14ac:dyDescent="0.2">
      <c r="C1134" s="53"/>
      <c r="D1134" s="53"/>
      <c r="E1134" s="53"/>
    </row>
    <row r="1135" spans="3:5" x14ac:dyDescent="0.2">
      <c r="C1135" s="53"/>
      <c r="D1135" s="53"/>
      <c r="E1135" s="53"/>
    </row>
    <row r="1136" spans="3:5" x14ac:dyDescent="0.2">
      <c r="C1136" s="53"/>
      <c r="D1136" s="53"/>
      <c r="E1136" s="53"/>
    </row>
    <row r="1137" spans="3:5" x14ac:dyDescent="0.2">
      <c r="C1137" s="53"/>
      <c r="D1137" s="53"/>
      <c r="E1137" s="53"/>
    </row>
    <row r="1138" spans="3:5" x14ac:dyDescent="0.2">
      <c r="C1138" s="53"/>
      <c r="D1138" s="53"/>
      <c r="E1138" s="53"/>
    </row>
    <row r="1139" spans="3:5" x14ac:dyDescent="0.2">
      <c r="C1139" s="53"/>
      <c r="D1139" s="53"/>
      <c r="E1139" s="53"/>
    </row>
    <row r="1140" spans="3:5" x14ac:dyDescent="0.2">
      <c r="C1140" s="53"/>
      <c r="D1140" s="53"/>
      <c r="E1140" s="53"/>
    </row>
    <row r="1141" spans="3:5" x14ac:dyDescent="0.2">
      <c r="C1141" s="53"/>
      <c r="D1141" s="53"/>
      <c r="E1141" s="53"/>
    </row>
    <row r="1142" spans="3:5" x14ac:dyDescent="0.2">
      <c r="C1142" s="53"/>
      <c r="D1142" s="53"/>
      <c r="E1142" s="53"/>
    </row>
    <row r="1143" spans="3:5" x14ac:dyDescent="0.2">
      <c r="C1143" s="53"/>
      <c r="D1143" s="53"/>
      <c r="E1143" s="53"/>
    </row>
    <row r="1144" spans="3:5" x14ac:dyDescent="0.2">
      <c r="C1144" s="53"/>
      <c r="D1144" s="53"/>
      <c r="E1144" s="53"/>
    </row>
    <row r="1145" spans="3:5" x14ac:dyDescent="0.2">
      <c r="C1145" s="53"/>
      <c r="D1145" s="53"/>
      <c r="E1145" s="53"/>
    </row>
    <row r="1146" spans="3:5" x14ac:dyDescent="0.2">
      <c r="C1146" s="53"/>
      <c r="D1146" s="53"/>
      <c r="E1146" s="53"/>
    </row>
    <row r="1147" spans="3:5" x14ac:dyDescent="0.2">
      <c r="C1147" s="53"/>
      <c r="D1147" s="53"/>
      <c r="E1147" s="53"/>
    </row>
    <row r="1148" spans="3:5" x14ac:dyDescent="0.2">
      <c r="C1148" s="53"/>
      <c r="D1148" s="53"/>
      <c r="E1148" s="53"/>
    </row>
    <row r="1149" spans="3:5" x14ac:dyDescent="0.2">
      <c r="C1149" s="53"/>
      <c r="D1149" s="53"/>
      <c r="E1149" s="53"/>
    </row>
    <row r="1150" spans="3:5" x14ac:dyDescent="0.2">
      <c r="C1150" s="53"/>
      <c r="D1150" s="53"/>
      <c r="E1150" s="53"/>
    </row>
    <row r="1151" spans="3:5" x14ac:dyDescent="0.2">
      <c r="C1151" s="53"/>
      <c r="D1151" s="53"/>
      <c r="E1151" s="53"/>
    </row>
    <row r="1152" spans="3:5" x14ac:dyDescent="0.2">
      <c r="C1152" s="53"/>
      <c r="D1152" s="53"/>
      <c r="E1152" s="53"/>
    </row>
    <row r="1153" spans="3:5" x14ac:dyDescent="0.2">
      <c r="C1153" s="53"/>
      <c r="D1153" s="53"/>
      <c r="E1153" s="53"/>
    </row>
    <row r="1154" spans="3:5" x14ac:dyDescent="0.2">
      <c r="C1154" s="53"/>
      <c r="D1154" s="53"/>
      <c r="E1154" s="53"/>
    </row>
    <row r="1155" spans="3:5" x14ac:dyDescent="0.2">
      <c r="C1155" s="53"/>
      <c r="D1155" s="53"/>
      <c r="E1155" s="53"/>
    </row>
    <row r="1156" spans="3:5" x14ac:dyDescent="0.2">
      <c r="C1156" s="53"/>
      <c r="D1156" s="53"/>
      <c r="E1156" s="53"/>
    </row>
    <row r="1157" spans="3:5" x14ac:dyDescent="0.2">
      <c r="C1157" s="53"/>
      <c r="D1157" s="53"/>
      <c r="E1157" s="53"/>
    </row>
    <row r="1158" spans="3:5" x14ac:dyDescent="0.2">
      <c r="C1158" s="53"/>
      <c r="D1158" s="53"/>
      <c r="E1158" s="53"/>
    </row>
    <row r="1159" spans="3:5" x14ac:dyDescent="0.2">
      <c r="C1159" s="53"/>
      <c r="D1159" s="53"/>
      <c r="E1159" s="53"/>
    </row>
    <row r="1160" spans="3:5" x14ac:dyDescent="0.2">
      <c r="C1160" s="53"/>
      <c r="D1160" s="53"/>
      <c r="E1160" s="53"/>
    </row>
    <row r="1161" spans="3:5" x14ac:dyDescent="0.2">
      <c r="C1161" s="53"/>
      <c r="D1161" s="53"/>
      <c r="E1161" s="53"/>
    </row>
    <row r="1162" spans="3:5" x14ac:dyDescent="0.2">
      <c r="C1162" s="53"/>
      <c r="D1162" s="53"/>
      <c r="E1162" s="53"/>
    </row>
    <row r="1163" spans="3:5" x14ac:dyDescent="0.2">
      <c r="C1163" s="53"/>
      <c r="D1163" s="53"/>
      <c r="E1163" s="53"/>
    </row>
    <row r="1164" spans="3:5" x14ac:dyDescent="0.2">
      <c r="C1164" s="53"/>
      <c r="D1164" s="53"/>
      <c r="E1164" s="53"/>
    </row>
    <row r="1165" spans="3:5" x14ac:dyDescent="0.2">
      <c r="C1165" s="53"/>
      <c r="D1165" s="53"/>
      <c r="E1165" s="53"/>
    </row>
    <row r="1166" spans="3:5" x14ac:dyDescent="0.2">
      <c r="C1166" s="53"/>
      <c r="D1166" s="53"/>
      <c r="E1166" s="53"/>
    </row>
    <row r="1167" spans="3:5" x14ac:dyDescent="0.2">
      <c r="C1167" s="53"/>
      <c r="D1167" s="53"/>
      <c r="E1167" s="53"/>
    </row>
    <row r="1168" spans="3:5" x14ac:dyDescent="0.2">
      <c r="C1168" s="53"/>
      <c r="D1168" s="53"/>
      <c r="E1168" s="53"/>
    </row>
    <row r="1169" spans="3:5" x14ac:dyDescent="0.2">
      <c r="C1169" s="53"/>
      <c r="D1169" s="53"/>
      <c r="E1169" s="53"/>
    </row>
    <row r="1170" spans="3:5" x14ac:dyDescent="0.2">
      <c r="C1170" s="53"/>
      <c r="D1170" s="53"/>
      <c r="E1170" s="53"/>
    </row>
    <row r="1171" spans="3:5" x14ac:dyDescent="0.2">
      <c r="C1171" s="53"/>
      <c r="D1171" s="53"/>
      <c r="E1171" s="53"/>
    </row>
    <row r="1172" spans="3:5" x14ac:dyDescent="0.2">
      <c r="C1172" s="53"/>
      <c r="D1172" s="53"/>
      <c r="E1172" s="53"/>
    </row>
    <row r="1173" spans="3:5" x14ac:dyDescent="0.2">
      <c r="C1173" s="53"/>
      <c r="D1173" s="53"/>
      <c r="E1173" s="53"/>
    </row>
    <row r="1174" spans="3:5" x14ac:dyDescent="0.2">
      <c r="C1174" s="53"/>
      <c r="D1174" s="53"/>
      <c r="E1174" s="53"/>
    </row>
    <row r="1175" spans="3:5" x14ac:dyDescent="0.2">
      <c r="C1175" s="53"/>
      <c r="D1175" s="53"/>
      <c r="E1175" s="53"/>
    </row>
    <row r="1176" spans="3:5" x14ac:dyDescent="0.2">
      <c r="C1176" s="53"/>
      <c r="D1176" s="53"/>
      <c r="E1176" s="53"/>
    </row>
    <row r="1177" spans="3:5" x14ac:dyDescent="0.2">
      <c r="C1177" s="53"/>
      <c r="D1177" s="53"/>
      <c r="E1177" s="53"/>
    </row>
    <row r="1178" spans="3:5" x14ac:dyDescent="0.2">
      <c r="C1178" s="53"/>
      <c r="D1178" s="53"/>
      <c r="E1178" s="53"/>
    </row>
    <row r="1179" spans="3:5" x14ac:dyDescent="0.2">
      <c r="C1179" s="53"/>
      <c r="D1179" s="53"/>
      <c r="E1179" s="53"/>
    </row>
    <row r="1180" spans="3:5" x14ac:dyDescent="0.2">
      <c r="C1180" s="53"/>
      <c r="D1180" s="53"/>
      <c r="E1180" s="53"/>
    </row>
    <row r="1181" spans="3:5" x14ac:dyDescent="0.2">
      <c r="C1181" s="53"/>
      <c r="D1181" s="53"/>
      <c r="E1181" s="53"/>
    </row>
    <row r="1182" spans="3:5" x14ac:dyDescent="0.2">
      <c r="C1182" s="53"/>
      <c r="D1182" s="53"/>
      <c r="E1182" s="53"/>
    </row>
    <row r="1183" spans="3:5" x14ac:dyDescent="0.2">
      <c r="C1183" s="53"/>
      <c r="D1183" s="53"/>
      <c r="E1183" s="53"/>
    </row>
    <row r="1184" spans="3:5" x14ac:dyDescent="0.2">
      <c r="C1184" s="53"/>
      <c r="D1184" s="53"/>
      <c r="E1184" s="53"/>
    </row>
    <row r="1185" spans="3:5" x14ac:dyDescent="0.2">
      <c r="C1185" s="53"/>
      <c r="D1185" s="53"/>
      <c r="E1185" s="53"/>
    </row>
    <row r="1186" spans="3:5" x14ac:dyDescent="0.2">
      <c r="C1186" s="53"/>
      <c r="D1186" s="53"/>
      <c r="E1186" s="53"/>
    </row>
    <row r="1187" spans="3:5" x14ac:dyDescent="0.2">
      <c r="C1187" s="53"/>
      <c r="D1187" s="53"/>
      <c r="E1187" s="53"/>
    </row>
    <row r="1188" spans="3:5" x14ac:dyDescent="0.2">
      <c r="C1188" s="53"/>
      <c r="D1188" s="53"/>
      <c r="E1188" s="53"/>
    </row>
    <row r="1189" spans="3:5" x14ac:dyDescent="0.2">
      <c r="C1189" s="53"/>
      <c r="D1189" s="53"/>
      <c r="E1189" s="53"/>
    </row>
    <row r="1190" spans="3:5" x14ac:dyDescent="0.2">
      <c r="C1190" s="53"/>
      <c r="D1190" s="53"/>
      <c r="E1190" s="53"/>
    </row>
    <row r="1191" spans="3:5" x14ac:dyDescent="0.2">
      <c r="C1191" s="53"/>
      <c r="D1191" s="53"/>
      <c r="E1191" s="53"/>
    </row>
    <row r="1192" spans="3:5" x14ac:dyDescent="0.2">
      <c r="C1192" s="53"/>
      <c r="D1192" s="53"/>
      <c r="E1192" s="53"/>
    </row>
    <row r="1193" spans="3:5" x14ac:dyDescent="0.2">
      <c r="C1193" s="53"/>
      <c r="D1193" s="53"/>
      <c r="E1193" s="53"/>
    </row>
    <row r="1194" spans="3:5" x14ac:dyDescent="0.2">
      <c r="C1194" s="53"/>
      <c r="D1194" s="53"/>
      <c r="E1194" s="53"/>
    </row>
    <row r="1195" spans="3:5" x14ac:dyDescent="0.2">
      <c r="C1195" s="53"/>
      <c r="D1195" s="53"/>
      <c r="E1195" s="53"/>
    </row>
    <row r="1196" spans="3:5" x14ac:dyDescent="0.2">
      <c r="C1196" s="53"/>
      <c r="D1196" s="53"/>
      <c r="E1196" s="53"/>
    </row>
    <row r="1197" spans="3:5" x14ac:dyDescent="0.2">
      <c r="C1197" s="53"/>
      <c r="D1197" s="53"/>
      <c r="E1197" s="53"/>
    </row>
    <row r="1198" spans="3:5" x14ac:dyDescent="0.2">
      <c r="C1198" s="53"/>
      <c r="D1198" s="53"/>
      <c r="E1198" s="53"/>
    </row>
    <row r="1199" spans="3:5" x14ac:dyDescent="0.2">
      <c r="C1199" s="53"/>
      <c r="D1199" s="53"/>
      <c r="E1199" s="53"/>
    </row>
    <row r="1200" spans="3:5" x14ac:dyDescent="0.2">
      <c r="C1200" s="53"/>
      <c r="D1200" s="53"/>
      <c r="E1200" s="53"/>
    </row>
    <row r="1201" spans="3:5" x14ac:dyDescent="0.2">
      <c r="C1201" s="53"/>
      <c r="D1201" s="53"/>
      <c r="E1201" s="53"/>
    </row>
    <row r="1202" spans="3:5" x14ac:dyDescent="0.2">
      <c r="C1202" s="53"/>
      <c r="D1202" s="53"/>
      <c r="E1202" s="53"/>
    </row>
    <row r="1203" spans="3:5" x14ac:dyDescent="0.2">
      <c r="C1203" s="53"/>
      <c r="D1203" s="53"/>
      <c r="E1203" s="53"/>
    </row>
    <row r="1204" spans="3:5" x14ac:dyDescent="0.2">
      <c r="C1204" s="53"/>
      <c r="D1204" s="53"/>
      <c r="E1204" s="53"/>
    </row>
    <row r="1205" spans="3:5" x14ac:dyDescent="0.2">
      <c r="C1205" s="53"/>
      <c r="D1205" s="53"/>
      <c r="E1205" s="53"/>
    </row>
    <row r="1206" spans="3:5" x14ac:dyDescent="0.2">
      <c r="C1206" s="53"/>
      <c r="D1206" s="53"/>
      <c r="E1206" s="53"/>
    </row>
    <row r="1207" spans="3:5" x14ac:dyDescent="0.2">
      <c r="C1207" s="53"/>
      <c r="D1207" s="53"/>
      <c r="E1207" s="53"/>
    </row>
    <row r="1208" spans="3:5" x14ac:dyDescent="0.2">
      <c r="C1208" s="53"/>
      <c r="D1208" s="53"/>
      <c r="E1208" s="53"/>
    </row>
    <row r="1209" spans="3:5" x14ac:dyDescent="0.2">
      <c r="C1209" s="53"/>
      <c r="D1209" s="53"/>
      <c r="E1209" s="53"/>
    </row>
    <row r="1210" spans="3:5" x14ac:dyDescent="0.2">
      <c r="C1210" s="53"/>
      <c r="D1210" s="53"/>
      <c r="E1210" s="53"/>
    </row>
    <row r="1211" spans="3:5" x14ac:dyDescent="0.2">
      <c r="C1211" s="53"/>
      <c r="D1211" s="53"/>
      <c r="E1211" s="53"/>
    </row>
    <row r="1212" spans="3:5" x14ac:dyDescent="0.2">
      <c r="C1212" s="53"/>
      <c r="D1212" s="53"/>
      <c r="E1212" s="53"/>
    </row>
    <row r="1213" spans="3:5" x14ac:dyDescent="0.2">
      <c r="C1213" s="53"/>
      <c r="D1213" s="53"/>
      <c r="E1213" s="53"/>
    </row>
    <row r="1214" spans="3:5" x14ac:dyDescent="0.2">
      <c r="C1214" s="53"/>
      <c r="D1214" s="53"/>
      <c r="E1214" s="53"/>
    </row>
    <row r="1215" spans="3:5" x14ac:dyDescent="0.2">
      <c r="C1215" s="53"/>
      <c r="D1215" s="53"/>
      <c r="E1215" s="53"/>
    </row>
    <row r="1216" spans="3:5" x14ac:dyDescent="0.2">
      <c r="C1216" s="53"/>
      <c r="D1216" s="53"/>
      <c r="E1216" s="53"/>
    </row>
    <row r="1217" spans="3:5" x14ac:dyDescent="0.2">
      <c r="C1217" s="53"/>
      <c r="D1217" s="53"/>
      <c r="E1217" s="53"/>
    </row>
    <row r="1218" spans="3:5" x14ac:dyDescent="0.2">
      <c r="C1218" s="53"/>
      <c r="D1218" s="53"/>
      <c r="E1218" s="53"/>
    </row>
    <row r="1219" spans="3:5" x14ac:dyDescent="0.2">
      <c r="C1219" s="53"/>
      <c r="D1219" s="53"/>
      <c r="E1219" s="53"/>
    </row>
    <row r="1220" spans="3:5" x14ac:dyDescent="0.2">
      <c r="C1220" s="53"/>
      <c r="D1220" s="53"/>
      <c r="E1220" s="53"/>
    </row>
    <row r="1221" spans="3:5" x14ac:dyDescent="0.2">
      <c r="C1221" s="53"/>
      <c r="D1221" s="53"/>
      <c r="E1221" s="53"/>
    </row>
    <row r="1222" spans="3:5" x14ac:dyDescent="0.2">
      <c r="C1222" s="53"/>
      <c r="D1222" s="53"/>
      <c r="E1222" s="53"/>
    </row>
    <row r="1223" spans="3:5" x14ac:dyDescent="0.2">
      <c r="C1223" s="53"/>
      <c r="D1223" s="53"/>
      <c r="E1223" s="53"/>
    </row>
    <row r="1224" spans="3:5" x14ac:dyDescent="0.2">
      <c r="C1224" s="53"/>
      <c r="D1224" s="53"/>
      <c r="E1224" s="53"/>
    </row>
    <row r="1225" spans="3:5" x14ac:dyDescent="0.2">
      <c r="C1225" s="53"/>
      <c r="D1225" s="53"/>
      <c r="E1225" s="53"/>
    </row>
    <row r="1226" spans="3:5" x14ac:dyDescent="0.2">
      <c r="C1226" s="53"/>
      <c r="D1226" s="53"/>
      <c r="E1226" s="53"/>
    </row>
    <row r="1227" spans="3:5" x14ac:dyDescent="0.2">
      <c r="C1227" s="53"/>
      <c r="D1227" s="53"/>
      <c r="E1227" s="53"/>
    </row>
    <row r="1228" spans="3:5" x14ac:dyDescent="0.2">
      <c r="C1228" s="53"/>
      <c r="D1228" s="53"/>
      <c r="E1228" s="53"/>
    </row>
    <row r="1229" spans="3:5" x14ac:dyDescent="0.2">
      <c r="C1229" s="53"/>
      <c r="D1229" s="53"/>
      <c r="E1229" s="53"/>
    </row>
    <row r="1230" spans="3:5" x14ac:dyDescent="0.2">
      <c r="C1230" s="53"/>
      <c r="D1230" s="53"/>
      <c r="E1230" s="53"/>
    </row>
    <row r="1231" spans="3:5" x14ac:dyDescent="0.2">
      <c r="C1231" s="53"/>
      <c r="D1231" s="53"/>
      <c r="E1231" s="53"/>
    </row>
    <row r="1232" spans="3:5" x14ac:dyDescent="0.2">
      <c r="C1232" s="53"/>
      <c r="D1232" s="53"/>
      <c r="E1232" s="53"/>
    </row>
    <row r="1233" spans="3:5" x14ac:dyDescent="0.2">
      <c r="C1233" s="53"/>
      <c r="D1233" s="53"/>
      <c r="E1233" s="53"/>
    </row>
    <row r="1234" spans="3:5" x14ac:dyDescent="0.2">
      <c r="C1234" s="53"/>
      <c r="D1234" s="53"/>
      <c r="E1234" s="53"/>
    </row>
    <row r="1235" spans="3:5" x14ac:dyDescent="0.2">
      <c r="C1235" s="53"/>
      <c r="D1235" s="53"/>
      <c r="E1235" s="53"/>
    </row>
    <row r="1236" spans="3:5" x14ac:dyDescent="0.2">
      <c r="C1236" s="53"/>
      <c r="D1236" s="53"/>
      <c r="E1236" s="53"/>
    </row>
    <row r="1237" spans="3:5" x14ac:dyDescent="0.2">
      <c r="C1237" s="53"/>
      <c r="D1237" s="53"/>
      <c r="E1237" s="53"/>
    </row>
    <row r="1238" spans="3:5" x14ac:dyDescent="0.2">
      <c r="C1238" s="53"/>
      <c r="D1238" s="53"/>
      <c r="E1238" s="53"/>
    </row>
    <row r="1239" spans="3:5" x14ac:dyDescent="0.2">
      <c r="C1239" s="53"/>
      <c r="D1239" s="53"/>
      <c r="E1239" s="53"/>
    </row>
    <row r="1240" spans="3:5" x14ac:dyDescent="0.2">
      <c r="C1240" s="53"/>
      <c r="D1240" s="53"/>
      <c r="E1240" s="53"/>
    </row>
    <row r="1241" spans="3:5" x14ac:dyDescent="0.2">
      <c r="C1241" s="53"/>
      <c r="D1241" s="53"/>
      <c r="E1241" s="53"/>
    </row>
    <row r="1242" spans="3:5" x14ac:dyDescent="0.2">
      <c r="C1242" s="53"/>
      <c r="D1242" s="53"/>
      <c r="E1242" s="53"/>
    </row>
    <row r="1243" spans="3:5" x14ac:dyDescent="0.2">
      <c r="C1243" s="53"/>
      <c r="D1243" s="53"/>
      <c r="E1243" s="53"/>
    </row>
    <row r="1244" spans="3:5" x14ac:dyDescent="0.2">
      <c r="C1244" s="53"/>
      <c r="D1244" s="53"/>
      <c r="E1244" s="53"/>
    </row>
    <row r="1245" spans="3:5" x14ac:dyDescent="0.2">
      <c r="C1245" s="53"/>
      <c r="D1245" s="53"/>
      <c r="E1245" s="53"/>
    </row>
    <row r="1246" spans="3:5" x14ac:dyDescent="0.2">
      <c r="C1246" s="53"/>
      <c r="D1246" s="53"/>
      <c r="E1246" s="53"/>
    </row>
    <row r="1247" spans="3:5" x14ac:dyDescent="0.2">
      <c r="C1247" s="53"/>
      <c r="D1247" s="53"/>
      <c r="E1247" s="53"/>
    </row>
    <row r="1248" spans="3:5" x14ac:dyDescent="0.2">
      <c r="C1248" s="53"/>
      <c r="D1248" s="53"/>
      <c r="E1248" s="53"/>
    </row>
    <row r="1249" spans="3:5" x14ac:dyDescent="0.2">
      <c r="C1249" s="53"/>
      <c r="D1249" s="53"/>
      <c r="E1249" s="53"/>
    </row>
    <row r="1250" spans="3:5" x14ac:dyDescent="0.2">
      <c r="C1250" s="53"/>
      <c r="D1250" s="53"/>
      <c r="E1250" s="53"/>
    </row>
    <row r="1251" spans="3:5" x14ac:dyDescent="0.2">
      <c r="C1251" s="53"/>
      <c r="D1251" s="53"/>
      <c r="E1251" s="53"/>
    </row>
    <row r="1252" spans="3:5" x14ac:dyDescent="0.2">
      <c r="C1252" s="53"/>
      <c r="D1252" s="53"/>
      <c r="E1252" s="53"/>
    </row>
    <row r="1253" spans="3:5" x14ac:dyDescent="0.2">
      <c r="C1253" s="53"/>
      <c r="D1253" s="53"/>
      <c r="E1253" s="53"/>
    </row>
    <row r="1254" spans="3:5" x14ac:dyDescent="0.2">
      <c r="C1254" s="53"/>
      <c r="D1254" s="53"/>
      <c r="E1254" s="53"/>
    </row>
    <row r="1255" spans="3:5" x14ac:dyDescent="0.2">
      <c r="C1255" s="53"/>
      <c r="D1255" s="53"/>
      <c r="E1255" s="53"/>
    </row>
    <row r="1256" spans="3:5" x14ac:dyDescent="0.2">
      <c r="C1256" s="53"/>
      <c r="D1256" s="53"/>
      <c r="E1256" s="53"/>
    </row>
    <row r="1257" spans="3:5" x14ac:dyDescent="0.2">
      <c r="C1257" s="53"/>
      <c r="D1257" s="53"/>
      <c r="E1257" s="53"/>
    </row>
    <row r="1258" spans="3:5" x14ac:dyDescent="0.2">
      <c r="C1258" s="53"/>
      <c r="D1258" s="53"/>
      <c r="E1258" s="53"/>
    </row>
    <row r="1259" spans="3:5" x14ac:dyDescent="0.2">
      <c r="C1259" s="53"/>
      <c r="D1259" s="53"/>
      <c r="E1259" s="53"/>
    </row>
    <row r="1260" spans="3:5" x14ac:dyDescent="0.2">
      <c r="C1260" s="53"/>
      <c r="D1260" s="53"/>
      <c r="E1260" s="53"/>
    </row>
    <row r="1261" spans="3:5" x14ac:dyDescent="0.2">
      <c r="C1261" s="53"/>
      <c r="D1261" s="53"/>
      <c r="E1261" s="53"/>
    </row>
    <row r="1262" spans="3:5" x14ac:dyDescent="0.2">
      <c r="C1262" s="53"/>
      <c r="D1262" s="53"/>
      <c r="E1262" s="53"/>
    </row>
    <row r="1263" spans="3:5" x14ac:dyDescent="0.2">
      <c r="C1263" s="53"/>
      <c r="D1263" s="53"/>
      <c r="E1263" s="53"/>
    </row>
    <row r="1264" spans="3:5" x14ac:dyDescent="0.2">
      <c r="C1264" s="53"/>
      <c r="D1264" s="53"/>
      <c r="E1264" s="53"/>
    </row>
    <row r="1265" spans="3:5" x14ac:dyDescent="0.2">
      <c r="C1265" s="53"/>
      <c r="D1265" s="53"/>
      <c r="E1265" s="53"/>
    </row>
    <row r="1266" spans="3:5" x14ac:dyDescent="0.2">
      <c r="C1266" s="53"/>
      <c r="D1266" s="53"/>
      <c r="E1266" s="53"/>
    </row>
    <row r="1267" spans="3:5" x14ac:dyDescent="0.2">
      <c r="C1267" s="53"/>
      <c r="D1267" s="53"/>
      <c r="E1267" s="53"/>
    </row>
    <row r="1268" spans="3:5" x14ac:dyDescent="0.2">
      <c r="C1268" s="53"/>
      <c r="D1268" s="53"/>
      <c r="E1268" s="53"/>
    </row>
    <row r="1269" spans="3:5" x14ac:dyDescent="0.2">
      <c r="C1269" s="53"/>
      <c r="D1269" s="53"/>
      <c r="E1269" s="53"/>
    </row>
    <row r="1270" spans="3:5" x14ac:dyDescent="0.2">
      <c r="C1270" s="53"/>
      <c r="D1270" s="53"/>
      <c r="E1270" s="53"/>
    </row>
    <row r="1271" spans="3:5" x14ac:dyDescent="0.2">
      <c r="C1271" s="53"/>
      <c r="D1271" s="53"/>
      <c r="E1271" s="53"/>
    </row>
    <row r="1272" spans="3:5" x14ac:dyDescent="0.2">
      <c r="C1272" s="53"/>
      <c r="D1272" s="53"/>
      <c r="E1272" s="53"/>
    </row>
    <row r="1273" spans="3:5" x14ac:dyDescent="0.2">
      <c r="C1273" s="53"/>
      <c r="D1273" s="53"/>
      <c r="E1273" s="53"/>
    </row>
    <row r="1274" spans="3:5" x14ac:dyDescent="0.2">
      <c r="C1274" s="53"/>
      <c r="D1274" s="53"/>
      <c r="E1274" s="53"/>
    </row>
    <row r="1275" spans="3:5" x14ac:dyDescent="0.2">
      <c r="C1275" s="53"/>
      <c r="D1275" s="53"/>
      <c r="E1275" s="53"/>
    </row>
    <row r="1276" spans="3:5" x14ac:dyDescent="0.2">
      <c r="C1276" s="53"/>
      <c r="D1276" s="53"/>
      <c r="E1276" s="53"/>
    </row>
    <row r="1277" spans="3:5" x14ac:dyDescent="0.2">
      <c r="C1277" s="53"/>
      <c r="D1277" s="53"/>
      <c r="E1277" s="53"/>
    </row>
    <row r="1278" spans="3:5" x14ac:dyDescent="0.2">
      <c r="C1278" s="53"/>
      <c r="D1278" s="53"/>
      <c r="E1278" s="53"/>
    </row>
    <row r="1279" spans="3:5" x14ac:dyDescent="0.2">
      <c r="C1279" s="53"/>
      <c r="D1279" s="53"/>
      <c r="E1279" s="53"/>
    </row>
    <row r="1280" spans="3:5" x14ac:dyDescent="0.2">
      <c r="C1280" s="53"/>
      <c r="D1280" s="53"/>
      <c r="E1280" s="53"/>
    </row>
    <row r="1281" spans="3:5" x14ac:dyDescent="0.2">
      <c r="C1281" s="53"/>
      <c r="D1281" s="53"/>
      <c r="E1281" s="53"/>
    </row>
    <row r="1282" spans="3:5" x14ac:dyDescent="0.2">
      <c r="C1282" s="53"/>
      <c r="D1282" s="53"/>
      <c r="E1282" s="53"/>
    </row>
    <row r="1283" spans="3:5" x14ac:dyDescent="0.2">
      <c r="C1283" s="53"/>
      <c r="D1283" s="53"/>
      <c r="E1283" s="53"/>
    </row>
    <row r="1284" spans="3:5" x14ac:dyDescent="0.2">
      <c r="C1284" s="53"/>
      <c r="D1284" s="53"/>
      <c r="E1284" s="53"/>
    </row>
    <row r="1285" spans="3:5" x14ac:dyDescent="0.2">
      <c r="C1285" s="53"/>
      <c r="D1285" s="53"/>
      <c r="E1285" s="53"/>
    </row>
    <row r="1286" spans="3:5" x14ac:dyDescent="0.2">
      <c r="C1286" s="53"/>
      <c r="D1286" s="53"/>
      <c r="E1286" s="53"/>
    </row>
    <row r="1287" spans="3:5" x14ac:dyDescent="0.2">
      <c r="C1287" s="53"/>
      <c r="D1287" s="53"/>
      <c r="E1287" s="53"/>
    </row>
    <row r="1288" spans="3:5" x14ac:dyDescent="0.2">
      <c r="C1288" s="53"/>
      <c r="D1288" s="53"/>
      <c r="E1288" s="53"/>
    </row>
    <row r="1289" spans="3:5" x14ac:dyDescent="0.2">
      <c r="C1289" s="53"/>
      <c r="D1289" s="53"/>
      <c r="E1289" s="53"/>
    </row>
    <row r="1290" spans="3:5" x14ac:dyDescent="0.2">
      <c r="C1290" s="53"/>
      <c r="D1290" s="53"/>
      <c r="E1290" s="53"/>
    </row>
    <row r="1291" spans="3:5" x14ac:dyDescent="0.2">
      <c r="C1291" s="53"/>
      <c r="D1291" s="53"/>
      <c r="E1291" s="53"/>
    </row>
    <row r="1292" spans="3:5" x14ac:dyDescent="0.2">
      <c r="C1292" s="53"/>
      <c r="D1292" s="53"/>
      <c r="E1292" s="53"/>
    </row>
    <row r="1293" spans="3:5" x14ac:dyDescent="0.2">
      <c r="C1293" s="53"/>
      <c r="D1293" s="53"/>
      <c r="E1293" s="53"/>
    </row>
    <row r="1294" spans="3:5" x14ac:dyDescent="0.2">
      <c r="C1294" s="53"/>
      <c r="D1294" s="53"/>
      <c r="E1294" s="53"/>
    </row>
    <row r="1295" spans="3:5" x14ac:dyDescent="0.2">
      <c r="C1295" s="53"/>
      <c r="D1295" s="53"/>
      <c r="E1295" s="53"/>
    </row>
    <row r="1296" spans="3:5" x14ac:dyDescent="0.2">
      <c r="C1296" s="53"/>
      <c r="D1296" s="53"/>
      <c r="E1296" s="53"/>
    </row>
    <row r="1297" spans="3:5" x14ac:dyDescent="0.2">
      <c r="C1297" s="53"/>
      <c r="D1297" s="53"/>
      <c r="E1297" s="53"/>
    </row>
    <row r="1298" spans="3:5" x14ac:dyDescent="0.2">
      <c r="C1298" s="53"/>
      <c r="D1298" s="53"/>
      <c r="E1298" s="53"/>
    </row>
    <row r="1299" spans="3:5" x14ac:dyDescent="0.2">
      <c r="C1299" s="53"/>
      <c r="D1299" s="53"/>
      <c r="E1299" s="53"/>
    </row>
    <row r="1300" spans="3:5" x14ac:dyDescent="0.2">
      <c r="C1300" s="53"/>
      <c r="D1300" s="53"/>
      <c r="E1300" s="53"/>
    </row>
    <row r="1301" spans="3:5" x14ac:dyDescent="0.2">
      <c r="C1301" s="53"/>
      <c r="D1301" s="53"/>
      <c r="E1301" s="53"/>
    </row>
    <row r="1302" spans="3:5" x14ac:dyDescent="0.2">
      <c r="C1302" s="53"/>
      <c r="D1302" s="53"/>
      <c r="E1302" s="53"/>
    </row>
    <row r="1303" spans="3:5" x14ac:dyDescent="0.2">
      <c r="C1303" s="53"/>
      <c r="D1303" s="53"/>
      <c r="E1303" s="53"/>
    </row>
    <row r="1304" spans="3:5" x14ac:dyDescent="0.2">
      <c r="C1304" s="53"/>
      <c r="D1304" s="53"/>
      <c r="E1304" s="53"/>
    </row>
    <row r="1305" spans="3:5" x14ac:dyDescent="0.2">
      <c r="C1305" s="53"/>
      <c r="D1305" s="53"/>
      <c r="E1305" s="53"/>
    </row>
    <row r="1306" spans="3:5" x14ac:dyDescent="0.2">
      <c r="C1306" s="53"/>
      <c r="D1306" s="53"/>
      <c r="E1306" s="53"/>
    </row>
    <row r="1307" spans="3:5" x14ac:dyDescent="0.2">
      <c r="C1307" s="53"/>
      <c r="D1307" s="53"/>
      <c r="E1307" s="53"/>
    </row>
    <row r="1308" spans="3:5" x14ac:dyDescent="0.2">
      <c r="C1308" s="53"/>
      <c r="D1308" s="53"/>
      <c r="E1308" s="53"/>
    </row>
    <row r="1309" spans="3:5" x14ac:dyDescent="0.2">
      <c r="C1309" s="53"/>
      <c r="D1309" s="53"/>
      <c r="E1309" s="53"/>
    </row>
    <row r="1310" spans="3:5" x14ac:dyDescent="0.2">
      <c r="C1310" s="53"/>
      <c r="D1310" s="53"/>
      <c r="E1310" s="53"/>
    </row>
    <row r="1311" spans="3:5" x14ac:dyDescent="0.2">
      <c r="C1311" s="53"/>
      <c r="D1311" s="53"/>
      <c r="E1311" s="53"/>
    </row>
    <row r="1312" spans="3:5" x14ac:dyDescent="0.2">
      <c r="C1312" s="53"/>
      <c r="D1312" s="53"/>
      <c r="E1312" s="53"/>
    </row>
    <row r="1313" spans="3:5" x14ac:dyDescent="0.2">
      <c r="C1313" s="53"/>
      <c r="D1313" s="53"/>
      <c r="E1313" s="53"/>
    </row>
    <row r="1314" spans="3:5" x14ac:dyDescent="0.2">
      <c r="C1314" s="53"/>
      <c r="D1314" s="53"/>
      <c r="E1314" s="53"/>
    </row>
    <row r="1315" spans="3:5" x14ac:dyDescent="0.2">
      <c r="C1315" s="53"/>
      <c r="D1315" s="53"/>
      <c r="E1315" s="53"/>
    </row>
    <row r="1316" spans="3:5" x14ac:dyDescent="0.2">
      <c r="C1316" s="53"/>
      <c r="D1316" s="53"/>
      <c r="E1316" s="53"/>
    </row>
    <row r="1317" spans="3:5" x14ac:dyDescent="0.2">
      <c r="C1317" s="53"/>
      <c r="D1317" s="53"/>
      <c r="E1317" s="53"/>
    </row>
    <row r="1318" spans="3:5" x14ac:dyDescent="0.2">
      <c r="C1318" s="53"/>
      <c r="D1318" s="53"/>
      <c r="E1318" s="53"/>
    </row>
    <row r="1319" spans="3:5" x14ac:dyDescent="0.2">
      <c r="C1319" s="53"/>
      <c r="D1319" s="53"/>
      <c r="E1319" s="53"/>
    </row>
    <row r="1320" spans="3:5" x14ac:dyDescent="0.2">
      <c r="C1320" s="53"/>
      <c r="D1320" s="53"/>
      <c r="E1320" s="53"/>
    </row>
    <row r="1321" spans="3:5" x14ac:dyDescent="0.2">
      <c r="C1321" s="53"/>
      <c r="D1321" s="53"/>
      <c r="E1321" s="53"/>
    </row>
    <row r="1322" spans="3:5" x14ac:dyDescent="0.2">
      <c r="C1322" s="53"/>
      <c r="D1322" s="53"/>
      <c r="E1322" s="53"/>
    </row>
    <row r="1323" spans="3:5" x14ac:dyDescent="0.2">
      <c r="C1323" s="53"/>
      <c r="D1323" s="53"/>
      <c r="E1323" s="53"/>
    </row>
    <row r="1324" spans="3:5" x14ac:dyDescent="0.2">
      <c r="C1324" s="53"/>
      <c r="D1324" s="53"/>
      <c r="E1324" s="53"/>
    </row>
    <row r="1325" spans="3:5" x14ac:dyDescent="0.2">
      <c r="C1325" s="53"/>
      <c r="D1325" s="53"/>
      <c r="E1325" s="53"/>
    </row>
    <row r="1326" spans="3:5" x14ac:dyDescent="0.2">
      <c r="C1326" s="53"/>
      <c r="D1326" s="53"/>
      <c r="E1326" s="53"/>
    </row>
    <row r="1327" spans="3:5" x14ac:dyDescent="0.2">
      <c r="C1327" s="53"/>
      <c r="D1327" s="53"/>
      <c r="E1327" s="53"/>
    </row>
    <row r="1328" spans="3:5" x14ac:dyDescent="0.2">
      <c r="C1328" s="53"/>
      <c r="D1328" s="53"/>
      <c r="E1328" s="53"/>
    </row>
    <row r="1329" spans="3:5" x14ac:dyDescent="0.2">
      <c r="C1329" s="53"/>
      <c r="D1329" s="53"/>
      <c r="E1329" s="53"/>
    </row>
    <row r="1330" spans="3:5" x14ac:dyDescent="0.2">
      <c r="C1330" s="53"/>
      <c r="D1330" s="53"/>
      <c r="E1330" s="53"/>
    </row>
    <row r="1331" spans="3:5" x14ac:dyDescent="0.2">
      <c r="C1331" s="53"/>
      <c r="D1331" s="53"/>
      <c r="E1331" s="53"/>
    </row>
  </sheetData>
  <autoFilter ref="A1:G877"/>
  <sortState ref="A1:E647">
    <sortCondition ref="D1"/>
  </sortState>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L225"/>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5" x14ac:dyDescent="0.2"/>
  <cols>
    <col min="1" max="1" width="56.75" style="37" customWidth="1"/>
    <col min="2" max="2" width="21.5" style="46" customWidth="1"/>
    <col min="3" max="3" width="66" style="46" customWidth="1"/>
    <col min="4" max="4" width="60.75" style="46" customWidth="1"/>
    <col min="5" max="5" width="33.5" style="46" customWidth="1"/>
    <col min="6" max="11" width="20" customWidth="1"/>
    <col min="12" max="12" width="23" customWidth="1"/>
  </cols>
  <sheetData>
    <row r="1" spans="1:12" ht="14.25" x14ac:dyDescent="0.2">
      <c r="A1" s="36" t="str">
        <f ca="1">HYPERLINK("#" &amp; CELL("address",INDEX!$A$1), "Go back to INDEX")</f>
        <v>Go back to INDEX</v>
      </c>
    </row>
    <row r="2" spans="1:12" x14ac:dyDescent="0.2">
      <c r="A2" s="129" t="s">
        <v>992</v>
      </c>
      <c r="B2" s="130" t="s">
        <v>993</v>
      </c>
      <c r="C2" s="130" t="s">
        <v>994</v>
      </c>
      <c r="D2" s="130" t="s">
        <v>1407</v>
      </c>
      <c r="E2" s="130" t="s">
        <v>1408</v>
      </c>
      <c r="F2" s="129" t="s">
        <v>1482</v>
      </c>
      <c r="G2" s="129"/>
      <c r="H2" s="129"/>
      <c r="I2" s="129"/>
      <c r="J2" s="129"/>
      <c r="K2" s="129"/>
      <c r="L2" s="129"/>
    </row>
    <row r="3" spans="1:12" ht="272.25" x14ac:dyDescent="0.2">
      <c r="A3" s="37" t="s">
        <v>1916</v>
      </c>
      <c r="B3" s="46" t="s">
        <v>495</v>
      </c>
      <c r="C3" s="46" t="s">
        <v>1995</v>
      </c>
      <c r="D3" s="46" t="s">
        <v>2391</v>
      </c>
      <c r="E3" s="46" t="s">
        <v>1952</v>
      </c>
      <c r="F3" s="46"/>
    </row>
    <row r="4" spans="1:12" ht="128.25" x14ac:dyDescent="0.2">
      <c r="A4" s="37" t="s">
        <v>2398</v>
      </c>
      <c r="B4" s="46" t="s">
        <v>495</v>
      </c>
      <c r="C4" s="46" t="s">
        <v>2399</v>
      </c>
      <c r="D4" s="46" t="s">
        <v>2436</v>
      </c>
      <c r="E4" s="46" t="s">
        <v>1784</v>
      </c>
    </row>
    <row r="5" spans="1:12" x14ac:dyDescent="0.2">
      <c r="A5" s="37" t="s">
        <v>1361</v>
      </c>
      <c r="B5" s="46" t="s">
        <v>495</v>
      </c>
      <c r="C5" s="46" t="s">
        <v>2400</v>
      </c>
      <c r="E5" s="46" t="s">
        <v>1784</v>
      </c>
    </row>
    <row r="6" spans="1:12" ht="156.75" x14ac:dyDescent="0.2">
      <c r="A6" s="37" t="s">
        <v>1146</v>
      </c>
      <c r="B6" s="46" t="s">
        <v>906</v>
      </c>
      <c r="C6" s="46" t="s">
        <v>2511</v>
      </c>
      <c r="D6" s="46" t="s">
        <v>2512</v>
      </c>
      <c r="E6" s="46" t="s">
        <v>1409</v>
      </c>
      <c r="F6" s="46" t="s">
        <v>2454</v>
      </c>
    </row>
    <row r="7" spans="1:12" ht="117" customHeight="1" x14ac:dyDescent="0.2">
      <c r="A7" s="37" t="s">
        <v>996</v>
      </c>
      <c r="B7" s="46" t="s">
        <v>906</v>
      </c>
      <c r="C7" s="46" t="s">
        <v>1158</v>
      </c>
      <c r="D7" s="131" t="str">
        <f ca="1">HYPERLINK("#" &amp; CELL("address", 'Customer category'!$A$1), "See sheet 'Customer category'.")</f>
        <v>See sheet 'Customer category'.</v>
      </c>
      <c r="E7" s="46" t="s">
        <v>1409</v>
      </c>
      <c r="F7" s="46" t="s">
        <v>2454</v>
      </c>
    </row>
    <row r="8" spans="1:12" ht="156.75" x14ac:dyDescent="0.2">
      <c r="A8" s="37" t="s">
        <v>997</v>
      </c>
      <c r="B8" s="46" t="s">
        <v>906</v>
      </c>
      <c r="C8" s="46" t="s">
        <v>1106</v>
      </c>
      <c r="D8" s="131" t="str">
        <f ca="1">HYPERLINK("#" &amp; CELL("address", 'Customer category'!$A$1), "See sheet 'Customer category'.")</f>
        <v>See sheet 'Customer category'.</v>
      </c>
      <c r="E8" s="46" t="s">
        <v>1409</v>
      </c>
      <c r="F8" s="46" t="s">
        <v>2454</v>
      </c>
    </row>
    <row r="9" spans="1:12" ht="156.75" x14ac:dyDescent="0.2">
      <c r="A9" s="37" t="s">
        <v>998</v>
      </c>
      <c r="B9" s="46" t="s">
        <v>906</v>
      </c>
      <c r="C9" s="46" t="s">
        <v>1152</v>
      </c>
      <c r="D9" s="131" t="str">
        <f ca="1">HYPERLINK("#" &amp; CELL("address", 'Customer category'!$A$1), "See sheet 'Customer category'.")</f>
        <v>See sheet 'Customer category'.</v>
      </c>
      <c r="E9" s="46" t="s">
        <v>1409</v>
      </c>
      <c r="F9" s="46" t="s">
        <v>2454</v>
      </c>
    </row>
    <row r="10" spans="1:12" ht="156.75" x14ac:dyDescent="0.2">
      <c r="A10" s="37" t="s">
        <v>354</v>
      </c>
      <c r="B10" s="46" t="s">
        <v>906</v>
      </c>
      <c r="C10" s="46" t="s">
        <v>1505</v>
      </c>
      <c r="D10" s="131" t="str">
        <f ca="1">HYPERLINK("#" &amp; CELL("address", 'Customer category'!$A$1), "See sheet 'Customer category'.")</f>
        <v>See sheet 'Customer category'.</v>
      </c>
      <c r="E10" s="46" t="s">
        <v>1409</v>
      </c>
      <c r="F10" s="46" t="s">
        <v>2454</v>
      </c>
    </row>
    <row r="11" spans="1:12" ht="71.25" x14ac:dyDescent="0.2">
      <c r="A11" s="37" t="s">
        <v>1633</v>
      </c>
      <c r="B11" s="46" t="s">
        <v>906</v>
      </c>
      <c r="C11" s="46" t="s">
        <v>2452</v>
      </c>
      <c r="D11" s="131" t="str">
        <f ca="1">HYPERLINK("#" &amp; CELL("address", 'Customer category'!$A$1), "See sheet 'Customer category'.")</f>
        <v>See sheet 'Customer category'.</v>
      </c>
      <c r="E11" s="46" t="s">
        <v>1409</v>
      </c>
    </row>
    <row r="12" spans="1:12" ht="156.75" x14ac:dyDescent="0.2">
      <c r="A12" s="37" t="s">
        <v>999</v>
      </c>
      <c r="B12" s="46" t="s">
        <v>906</v>
      </c>
      <c r="C12" s="46" t="s">
        <v>1506</v>
      </c>
      <c r="D12" s="131" t="str">
        <f ca="1">HYPERLINK("#" &amp; CELL("address", 'Customer category'!$A$1), "See sheet 'Customer category'.")</f>
        <v>See sheet 'Customer category'.</v>
      </c>
      <c r="E12" s="46" t="s">
        <v>1409</v>
      </c>
      <c r="F12" s="46" t="s">
        <v>2454</v>
      </c>
    </row>
    <row r="13" spans="1:12" ht="156.75" x14ac:dyDescent="0.2">
      <c r="A13" s="37" t="s">
        <v>1000</v>
      </c>
      <c r="B13" s="46" t="s">
        <v>906</v>
      </c>
      <c r="C13" s="46" t="s">
        <v>1151</v>
      </c>
      <c r="D13" s="131" t="str">
        <f ca="1">HYPERLINK("#" &amp; CELL("address", 'Customer category'!$A$1), "See sheet 'Customer category'.")</f>
        <v>See sheet 'Customer category'.</v>
      </c>
      <c r="E13" s="46" t="s">
        <v>1409</v>
      </c>
      <c r="F13" s="46" t="s">
        <v>2454</v>
      </c>
    </row>
    <row r="14" spans="1:12" ht="243.75" x14ac:dyDescent="0.2">
      <c r="A14" s="37" t="s">
        <v>1001</v>
      </c>
      <c r="B14" s="46" t="s">
        <v>906</v>
      </c>
      <c r="C14" s="46" t="s">
        <v>1153</v>
      </c>
      <c r="D14" s="131" t="str">
        <f ca="1">HYPERLINK("#" &amp; CELL("address", 'Customer category'!$A$1), "See sheet 'Customer category'.")</f>
        <v>See sheet 'Customer category'.</v>
      </c>
      <c r="E14" s="46" t="s">
        <v>1409</v>
      </c>
      <c r="F14" s="46" t="s">
        <v>2454</v>
      </c>
    </row>
    <row r="15" spans="1:12" ht="156.75" x14ac:dyDescent="0.2">
      <c r="A15" s="37" t="s">
        <v>1002</v>
      </c>
      <c r="B15" s="46" t="s">
        <v>906</v>
      </c>
      <c r="C15" s="46" t="s">
        <v>1154</v>
      </c>
      <c r="D15" s="131" t="str">
        <f ca="1">HYPERLINK("#" &amp; CELL("address", 'Customer category'!$A$1), "See sheet 'Customer category'.")</f>
        <v>See sheet 'Customer category'.</v>
      </c>
      <c r="E15" s="46" t="s">
        <v>1409</v>
      </c>
      <c r="F15" s="46" t="s">
        <v>2454</v>
      </c>
    </row>
    <row r="16" spans="1:12" ht="156.75" x14ac:dyDescent="0.2">
      <c r="A16" s="37" t="s">
        <v>351</v>
      </c>
      <c r="B16" s="46" t="s">
        <v>906</v>
      </c>
      <c r="C16" s="46" t="s">
        <v>1155</v>
      </c>
      <c r="D16" s="131" t="str">
        <f ca="1">HYPERLINK("#" &amp; CELL("address", 'Customer category'!$A$1), "See sheet 'Customer category'.")</f>
        <v>See sheet 'Customer category'.</v>
      </c>
      <c r="E16" s="46" t="s">
        <v>1409</v>
      </c>
      <c r="F16" s="46" t="s">
        <v>2454</v>
      </c>
    </row>
    <row r="17" spans="1:6" ht="172.5" x14ac:dyDescent="0.2">
      <c r="A17" s="37" t="s">
        <v>473</v>
      </c>
      <c r="B17" s="46" t="s">
        <v>906</v>
      </c>
      <c r="C17" s="171" t="s">
        <v>2609</v>
      </c>
      <c r="E17" s="46" t="s">
        <v>1411</v>
      </c>
      <c r="F17" s="46" t="s">
        <v>2455</v>
      </c>
    </row>
    <row r="18" spans="1:6" ht="156.75" x14ac:dyDescent="0.2">
      <c r="A18" s="37" t="s">
        <v>358</v>
      </c>
      <c r="B18" s="46" t="s">
        <v>906</v>
      </c>
      <c r="C18" s="67" t="s">
        <v>1507</v>
      </c>
      <c r="E18" s="46" t="s">
        <v>1411</v>
      </c>
      <c r="F18" s="46" t="s">
        <v>2454</v>
      </c>
    </row>
    <row r="19" spans="1:6" ht="99.75" x14ac:dyDescent="0.2">
      <c r="A19" s="37" t="s">
        <v>1156</v>
      </c>
      <c r="B19" s="46" t="s">
        <v>65</v>
      </c>
      <c r="C19" s="46" t="s">
        <v>1416</v>
      </c>
      <c r="E19" s="46" t="s">
        <v>1411</v>
      </c>
      <c r="F19" s="46" t="s">
        <v>2456</v>
      </c>
    </row>
    <row r="20" spans="1:6" ht="142.5" x14ac:dyDescent="0.2">
      <c r="A20" s="37" t="s">
        <v>56</v>
      </c>
      <c r="B20" s="46" t="s">
        <v>65</v>
      </c>
      <c r="C20" s="172" t="s">
        <v>2460</v>
      </c>
      <c r="D20" s="46" t="s">
        <v>2496</v>
      </c>
      <c r="E20" s="46" t="s">
        <v>1411</v>
      </c>
      <c r="F20" s="46" t="s">
        <v>1970</v>
      </c>
    </row>
    <row r="21" spans="1:6" ht="71.25" x14ac:dyDescent="0.2">
      <c r="A21" s="37" t="s">
        <v>1799</v>
      </c>
      <c r="B21" s="46" t="s">
        <v>495</v>
      </c>
      <c r="C21" s="172" t="s">
        <v>2438</v>
      </c>
      <c r="E21" s="46" t="s">
        <v>1410</v>
      </c>
      <c r="F21" s="46"/>
    </row>
    <row r="22" spans="1:6" ht="114" x14ac:dyDescent="0.2">
      <c r="A22" s="37" t="s">
        <v>1802</v>
      </c>
      <c r="B22" s="46" t="s">
        <v>495</v>
      </c>
      <c r="C22" s="172" t="s">
        <v>2439</v>
      </c>
      <c r="D22" s="46" t="s">
        <v>2440</v>
      </c>
      <c r="E22" s="46" t="s">
        <v>1952</v>
      </c>
      <c r="F22" s="46"/>
    </row>
    <row r="23" spans="1:6" ht="142.5" x14ac:dyDescent="0.2">
      <c r="A23" s="37" t="s">
        <v>61</v>
      </c>
      <c r="B23" s="46" t="s">
        <v>65</v>
      </c>
      <c r="C23" s="67" t="s">
        <v>2404</v>
      </c>
      <c r="D23" s="46" t="s">
        <v>2463</v>
      </c>
      <c r="E23" s="46" t="s">
        <v>1411</v>
      </c>
      <c r="F23" s="46" t="s">
        <v>1970</v>
      </c>
    </row>
    <row r="24" spans="1:6" ht="142.5" x14ac:dyDescent="0.2">
      <c r="A24" s="37" t="s">
        <v>271</v>
      </c>
      <c r="B24" s="46" t="s">
        <v>65</v>
      </c>
      <c r="C24" s="46" t="s">
        <v>2403</v>
      </c>
      <c r="D24" s="46" t="s">
        <v>2463</v>
      </c>
      <c r="E24" s="46" t="s">
        <v>1411</v>
      </c>
      <c r="F24" s="46" t="s">
        <v>1970</v>
      </c>
    </row>
    <row r="25" spans="1:6" ht="142.5" x14ac:dyDescent="0.2">
      <c r="A25" s="37" t="s">
        <v>359</v>
      </c>
      <c r="B25" s="46" t="s">
        <v>65</v>
      </c>
      <c r="C25" s="46" t="s">
        <v>1157</v>
      </c>
      <c r="E25" s="46" t="s">
        <v>1411</v>
      </c>
      <c r="F25" s="46" t="s">
        <v>1970</v>
      </c>
    </row>
    <row r="26" spans="1:6" ht="57" x14ac:dyDescent="0.2">
      <c r="A26" s="37" t="s">
        <v>416</v>
      </c>
      <c r="B26" s="46" t="s">
        <v>898</v>
      </c>
      <c r="C26" s="46" t="s">
        <v>1405</v>
      </c>
      <c r="E26" s="46" t="s">
        <v>1410</v>
      </c>
      <c r="F26" s="46" t="s">
        <v>1971</v>
      </c>
    </row>
    <row r="27" spans="1:6" ht="71.25" x14ac:dyDescent="0.2">
      <c r="A27" s="37" t="s">
        <v>899</v>
      </c>
      <c r="B27" s="46" t="s">
        <v>898</v>
      </c>
      <c r="C27" s="46" t="s">
        <v>1406</v>
      </c>
      <c r="E27" s="46" t="s">
        <v>1410</v>
      </c>
      <c r="F27" s="46" t="s">
        <v>1971</v>
      </c>
    </row>
    <row r="28" spans="1:6" ht="85.5" x14ac:dyDescent="0.2">
      <c r="A28" s="37" t="s">
        <v>419</v>
      </c>
      <c r="B28" s="46" t="s">
        <v>898</v>
      </c>
      <c r="C28" s="46" t="s">
        <v>1159</v>
      </c>
      <c r="D28" s="46" t="s">
        <v>2658</v>
      </c>
      <c r="E28" s="46" t="s">
        <v>1411</v>
      </c>
      <c r="F28" s="46" t="s">
        <v>1972</v>
      </c>
    </row>
    <row r="29" spans="1:6" ht="85.5" x14ac:dyDescent="0.2">
      <c r="A29" s="37" t="s">
        <v>461</v>
      </c>
      <c r="B29" s="46" t="s">
        <v>898</v>
      </c>
      <c r="C29" s="46" t="s">
        <v>2611</v>
      </c>
      <c r="D29" s="131" t="str">
        <f ca="1">HYPERLINK("#" &amp; CELL("address", Concepts!$A$20), "See also definition of 'on-us' settlement channel.")</f>
        <v>See also definition of 'on-us' settlement channel.</v>
      </c>
      <c r="E29" s="46" t="s">
        <v>1411</v>
      </c>
      <c r="F29" s="46" t="s">
        <v>1972</v>
      </c>
    </row>
    <row r="30" spans="1:6" ht="42.75" x14ac:dyDescent="0.2">
      <c r="A30" s="37" t="s">
        <v>76</v>
      </c>
      <c r="B30" s="46" t="s">
        <v>462</v>
      </c>
      <c r="C30" s="46" t="s">
        <v>616</v>
      </c>
      <c r="D30" s="46" t="s">
        <v>1276</v>
      </c>
      <c r="E30" s="46" t="s">
        <v>1410</v>
      </c>
      <c r="F30" s="46" t="s">
        <v>1973</v>
      </c>
    </row>
    <row r="31" spans="1:6" ht="57" x14ac:dyDescent="0.2">
      <c r="A31" s="37" t="s">
        <v>275</v>
      </c>
      <c r="B31" s="46" t="s">
        <v>462</v>
      </c>
      <c r="C31" s="46" t="s">
        <v>620</v>
      </c>
      <c r="D31" s="46" t="s">
        <v>1280</v>
      </c>
      <c r="E31" s="46" t="s">
        <v>1410</v>
      </c>
      <c r="F31" s="46" t="s">
        <v>1984</v>
      </c>
    </row>
    <row r="32" spans="1:6" ht="71.25" x14ac:dyDescent="0.2">
      <c r="A32" s="37" t="s">
        <v>726</v>
      </c>
      <c r="B32" s="46" t="s">
        <v>462</v>
      </c>
      <c r="C32" s="46" t="s">
        <v>1957</v>
      </c>
      <c r="E32" s="46" t="s">
        <v>1410</v>
      </c>
      <c r="F32" s="46" t="s">
        <v>1974</v>
      </c>
    </row>
    <row r="33" spans="1:6" ht="42.75" x14ac:dyDescent="0.2">
      <c r="A33" s="37" t="s">
        <v>1164</v>
      </c>
      <c r="B33" s="46" t="s">
        <v>462</v>
      </c>
      <c r="C33" s="67" t="s">
        <v>2466</v>
      </c>
      <c r="E33" s="46" t="s">
        <v>1411</v>
      </c>
    </row>
    <row r="34" spans="1:6" ht="142.5" x14ac:dyDescent="0.2">
      <c r="A34" s="37" t="s">
        <v>1161</v>
      </c>
      <c r="B34" s="46" t="s">
        <v>462</v>
      </c>
      <c r="C34" s="46" t="s">
        <v>1508</v>
      </c>
      <c r="D34" s="46" t="s">
        <v>2558</v>
      </c>
      <c r="E34" s="46" t="s">
        <v>1952</v>
      </c>
      <c r="F34" s="46" t="s">
        <v>1973</v>
      </c>
    </row>
    <row r="35" spans="1:6" ht="99.75" x14ac:dyDescent="0.2">
      <c r="A35" s="37" t="s">
        <v>1510</v>
      </c>
      <c r="B35" s="46" t="s">
        <v>462</v>
      </c>
      <c r="C35" s="46" t="s">
        <v>1950</v>
      </c>
      <c r="D35" s="131" t="str">
        <f ca="1">HYPERLINK("#" &amp; CELL("address", Concepts!$A$38), "See also definition of 'Mobile payment solution'.")</f>
        <v>See also definition of 'Mobile payment solution'.</v>
      </c>
      <c r="E35" s="46" t="s">
        <v>1410</v>
      </c>
      <c r="F35" s="46" t="s">
        <v>1973</v>
      </c>
    </row>
    <row r="36" spans="1:6" ht="85.5" x14ac:dyDescent="0.2">
      <c r="A36" s="37" t="s">
        <v>463</v>
      </c>
      <c r="B36" s="46" t="s">
        <v>462</v>
      </c>
      <c r="C36" s="131" t="str">
        <f ca="1">HYPERLINK("#" &amp; CELL("address", Concepts!$A$105), "See definition of 'ATM' (terminal type).")</f>
        <v>See definition of 'ATM' (terminal type).</v>
      </c>
      <c r="D36" s="46" t="s">
        <v>2464</v>
      </c>
      <c r="E36" s="46" t="s">
        <v>1410</v>
      </c>
      <c r="F36" s="46" t="s">
        <v>1973</v>
      </c>
    </row>
    <row r="37" spans="1:6" ht="42.75" x14ac:dyDescent="0.2">
      <c r="A37" s="37" t="s">
        <v>2624</v>
      </c>
      <c r="B37" s="46" t="s">
        <v>462</v>
      </c>
      <c r="C37" s="46" t="s">
        <v>2615</v>
      </c>
      <c r="D37" s="46" t="s">
        <v>2616</v>
      </c>
      <c r="E37" s="46" t="s">
        <v>1411</v>
      </c>
      <c r="F37" s="46" t="s">
        <v>1973</v>
      </c>
    </row>
    <row r="38" spans="1:6" ht="128.25" x14ac:dyDescent="0.2">
      <c r="A38" s="37" t="s">
        <v>1165</v>
      </c>
      <c r="B38" s="46" t="s">
        <v>462</v>
      </c>
      <c r="C38" s="46" t="s">
        <v>638</v>
      </c>
      <c r="D38" s="67" t="s">
        <v>1864</v>
      </c>
      <c r="E38" s="46" t="s">
        <v>1410</v>
      </c>
    </row>
    <row r="39" spans="1:6" ht="42.75" x14ac:dyDescent="0.2">
      <c r="A39" s="37" t="s">
        <v>570</v>
      </c>
      <c r="B39" s="46" t="s">
        <v>495</v>
      </c>
      <c r="C39" s="46" t="s">
        <v>571</v>
      </c>
      <c r="E39" s="46" t="s">
        <v>1410</v>
      </c>
    </row>
    <row r="40" spans="1:6" ht="128.25" x14ac:dyDescent="0.2">
      <c r="A40" s="37" t="s">
        <v>1162</v>
      </c>
      <c r="B40" s="46" t="s">
        <v>462</v>
      </c>
      <c r="C40" s="46" t="s">
        <v>664</v>
      </c>
      <c r="D40" s="46" t="s">
        <v>1511</v>
      </c>
      <c r="E40" s="46" t="s">
        <v>1410</v>
      </c>
      <c r="F40" s="46" t="s">
        <v>1975</v>
      </c>
    </row>
    <row r="41" spans="1:6" ht="128.25" x14ac:dyDescent="0.2">
      <c r="A41" s="37" t="s">
        <v>1163</v>
      </c>
      <c r="B41" s="46" t="s">
        <v>462</v>
      </c>
      <c r="C41" s="46" t="s">
        <v>2380</v>
      </c>
      <c r="D41" s="46" t="s">
        <v>2381</v>
      </c>
      <c r="E41" s="46" t="s">
        <v>1411</v>
      </c>
      <c r="F41" s="46" t="s">
        <v>1975</v>
      </c>
    </row>
    <row r="42" spans="1:6" ht="85.5" x14ac:dyDescent="0.2">
      <c r="A42" s="37" t="s">
        <v>2625</v>
      </c>
      <c r="B42" s="46" t="s">
        <v>462</v>
      </c>
      <c r="C42" s="46" t="s">
        <v>2626</v>
      </c>
      <c r="D42" s="46" t="s">
        <v>2468</v>
      </c>
      <c r="E42" s="46" t="s">
        <v>1411</v>
      </c>
      <c r="F42" s="46" t="s">
        <v>2526</v>
      </c>
    </row>
    <row r="43" spans="1:6" ht="171" x14ac:dyDescent="0.2">
      <c r="A43" s="37" t="s">
        <v>411</v>
      </c>
      <c r="B43" s="46" t="s">
        <v>733</v>
      </c>
      <c r="C43" s="46" t="s">
        <v>688</v>
      </c>
      <c r="D43" s="46" t="s">
        <v>1429</v>
      </c>
      <c r="E43" s="46" t="s">
        <v>1410</v>
      </c>
      <c r="F43" s="46" t="s">
        <v>1976</v>
      </c>
    </row>
    <row r="44" spans="1:6" ht="171" x14ac:dyDescent="0.2">
      <c r="A44" s="37" t="s">
        <v>465</v>
      </c>
      <c r="B44" s="46" t="s">
        <v>733</v>
      </c>
      <c r="D44" s="67" t="s">
        <v>1512</v>
      </c>
      <c r="E44" s="46" t="s">
        <v>1410</v>
      </c>
      <c r="F44" s="46" t="s">
        <v>1976</v>
      </c>
    </row>
    <row r="45" spans="1:6" ht="42.75" x14ac:dyDescent="0.2">
      <c r="A45" s="37" t="s">
        <v>895</v>
      </c>
      <c r="B45" s="46" t="s">
        <v>734</v>
      </c>
      <c r="C45" s="46" t="s">
        <v>1513</v>
      </c>
      <c r="E45" s="46" t="s">
        <v>1411</v>
      </c>
      <c r="F45" s="46" t="s">
        <v>1973</v>
      </c>
    </row>
    <row r="46" spans="1:6" ht="42.75" x14ac:dyDescent="0.2">
      <c r="A46" s="37" t="s">
        <v>409</v>
      </c>
      <c r="B46" s="46" t="s">
        <v>734</v>
      </c>
      <c r="C46" s="46" t="s">
        <v>1413</v>
      </c>
      <c r="D46" s="131" t="str">
        <f ca="1">HYPERLINK("#" &amp; CELL("address", $A$177), "See also definition of 'PISP' (general).")</f>
        <v>See also definition of 'PISP' (general).</v>
      </c>
      <c r="E46" s="46" t="s">
        <v>1411</v>
      </c>
      <c r="F46" s="46" t="s">
        <v>1973</v>
      </c>
    </row>
    <row r="47" spans="1:6" ht="156.75" x14ac:dyDescent="0.2">
      <c r="A47" s="37" t="s">
        <v>467</v>
      </c>
      <c r="B47" s="46" t="s">
        <v>422</v>
      </c>
      <c r="C47" s="46" t="s">
        <v>1602</v>
      </c>
      <c r="E47" s="46" t="s">
        <v>1603</v>
      </c>
      <c r="F47" s="46" t="s">
        <v>1977</v>
      </c>
    </row>
    <row r="48" spans="1:6" ht="57" x14ac:dyDescent="0.2">
      <c r="A48" s="37" t="s">
        <v>1414</v>
      </c>
      <c r="B48" s="46" t="s">
        <v>422</v>
      </c>
      <c r="D48" s="46" t="s">
        <v>1415</v>
      </c>
      <c r="E48" s="46" t="s">
        <v>1410</v>
      </c>
    </row>
    <row r="49" spans="1:6" ht="71.25" x14ac:dyDescent="0.2">
      <c r="A49" s="37" t="s">
        <v>431</v>
      </c>
      <c r="B49" s="46" t="s">
        <v>422</v>
      </c>
      <c r="C49" s="46" t="s">
        <v>1368</v>
      </c>
      <c r="D49" s="46" t="s">
        <v>677</v>
      </c>
      <c r="E49" s="46" t="s">
        <v>1410</v>
      </c>
      <c r="F49" s="46" t="s">
        <v>1978</v>
      </c>
    </row>
    <row r="50" spans="1:6" ht="99.75" x14ac:dyDescent="0.2">
      <c r="A50" s="37" t="s">
        <v>432</v>
      </c>
      <c r="B50" s="46" t="s">
        <v>422</v>
      </c>
      <c r="C50" s="46" t="s">
        <v>713</v>
      </c>
      <c r="D50" s="46" t="s">
        <v>714</v>
      </c>
      <c r="E50" s="46" t="s">
        <v>1410</v>
      </c>
      <c r="F50" s="46" t="s">
        <v>1979</v>
      </c>
    </row>
    <row r="51" spans="1:6" ht="128.25" x14ac:dyDescent="0.2">
      <c r="A51" s="37" t="s">
        <v>684</v>
      </c>
      <c r="B51" s="46" t="s">
        <v>422</v>
      </c>
      <c r="C51" s="46" t="s">
        <v>685</v>
      </c>
      <c r="D51" s="46" t="s">
        <v>686</v>
      </c>
      <c r="E51" s="46" t="s">
        <v>1410</v>
      </c>
      <c r="F51" s="46" t="s">
        <v>1975</v>
      </c>
    </row>
    <row r="52" spans="1:6" ht="128.25" x14ac:dyDescent="0.2">
      <c r="A52" s="37" t="s">
        <v>481</v>
      </c>
      <c r="B52" s="46" t="s">
        <v>422</v>
      </c>
      <c r="C52" s="46" t="s">
        <v>1218</v>
      </c>
      <c r="D52" s="46" t="s">
        <v>550</v>
      </c>
      <c r="E52" s="46" t="s">
        <v>1410</v>
      </c>
      <c r="F52" s="46" t="s">
        <v>1975</v>
      </c>
    </row>
    <row r="53" spans="1:6" ht="128.25" x14ac:dyDescent="0.2">
      <c r="A53" s="37" t="s">
        <v>482</v>
      </c>
      <c r="B53" s="46" t="s">
        <v>422</v>
      </c>
      <c r="C53" s="46" t="s">
        <v>715</v>
      </c>
      <c r="D53" s="46" t="s">
        <v>716</v>
      </c>
      <c r="E53" s="46" t="s">
        <v>1410</v>
      </c>
      <c r="F53" s="46" t="s">
        <v>1975</v>
      </c>
    </row>
    <row r="54" spans="1:6" ht="128.25" x14ac:dyDescent="0.2">
      <c r="A54" s="37" t="s">
        <v>430</v>
      </c>
      <c r="B54" s="46" t="s">
        <v>422</v>
      </c>
      <c r="C54" s="46" t="s">
        <v>1906</v>
      </c>
      <c r="D54" s="46" t="s">
        <v>1286</v>
      </c>
      <c r="E54" s="46" t="s">
        <v>1410</v>
      </c>
      <c r="F54" s="46" t="s">
        <v>1975</v>
      </c>
    </row>
    <row r="55" spans="1:6" ht="99.75" x14ac:dyDescent="0.2">
      <c r="A55" s="37" t="s">
        <v>434</v>
      </c>
      <c r="B55" s="46" t="s">
        <v>422</v>
      </c>
      <c r="C55" s="46" t="s">
        <v>694</v>
      </c>
      <c r="D55" s="46" t="s">
        <v>695</v>
      </c>
      <c r="E55" s="46" t="s">
        <v>1410</v>
      </c>
      <c r="F55" s="46" t="s">
        <v>1979</v>
      </c>
    </row>
    <row r="56" spans="1:6" ht="128.25" x14ac:dyDescent="0.2">
      <c r="A56" s="37" t="s">
        <v>1412</v>
      </c>
      <c r="B56" s="46" t="s">
        <v>422</v>
      </c>
      <c r="C56" s="46" t="s">
        <v>710</v>
      </c>
      <c r="D56" s="46" t="s">
        <v>711</v>
      </c>
      <c r="E56" s="46" t="s">
        <v>1410</v>
      </c>
      <c r="F56" s="46" t="s">
        <v>1975</v>
      </c>
    </row>
    <row r="57" spans="1:6" ht="114" x14ac:dyDescent="0.2">
      <c r="A57" s="37" t="s">
        <v>461</v>
      </c>
      <c r="B57" s="46" t="s">
        <v>422</v>
      </c>
      <c r="C57" s="46" t="s">
        <v>2566</v>
      </c>
      <c r="D57" s="131" t="str">
        <f ca="1">HYPERLINK("#" &amp; CELL("address", $A$110), "See also definition of 'MOTO' (terminal type).")</f>
        <v>See also definition of 'MOTO' (terminal type).</v>
      </c>
      <c r="E57" s="46" t="s">
        <v>1411</v>
      </c>
      <c r="F57" s="46" t="s">
        <v>2526</v>
      </c>
    </row>
    <row r="58" spans="1:6" ht="142.5" x14ac:dyDescent="0.2">
      <c r="A58" s="37" t="s">
        <v>359</v>
      </c>
      <c r="B58" s="46" t="s">
        <v>422</v>
      </c>
      <c r="D58" s="46" t="s">
        <v>657</v>
      </c>
      <c r="E58" s="46" t="s">
        <v>1410</v>
      </c>
      <c r="F58" s="46" t="s">
        <v>1990</v>
      </c>
    </row>
    <row r="59" spans="1:6" ht="85.5" x14ac:dyDescent="0.2">
      <c r="A59" s="37" t="s">
        <v>461</v>
      </c>
      <c r="B59" s="46" t="s">
        <v>469</v>
      </c>
      <c r="C59" s="46" t="s">
        <v>1908</v>
      </c>
      <c r="E59" s="46" t="s">
        <v>1411</v>
      </c>
      <c r="F59" s="46" t="s">
        <v>1638</v>
      </c>
    </row>
    <row r="60" spans="1:6" ht="57" x14ac:dyDescent="0.2">
      <c r="A60" s="37" t="s">
        <v>445</v>
      </c>
      <c r="B60" s="46" t="s">
        <v>469</v>
      </c>
      <c r="C60" s="46" t="s">
        <v>623</v>
      </c>
      <c r="D60" s="46" t="s">
        <v>1283</v>
      </c>
      <c r="E60" s="46" t="s">
        <v>1410</v>
      </c>
      <c r="F60" s="46" t="s">
        <v>1639</v>
      </c>
    </row>
    <row r="61" spans="1:6" ht="128.25" x14ac:dyDescent="0.2">
      <c r="A61" s="37" t="s">
        <v>446</v>
      </c>
      <c r="B61" s="46" t="s">
        <v>469</v>
      </c>
      <c r="C61" s="46" t="s">
        <v>1293</v>
      </c>
      <c r="D61" s="46" t="s">
        <v>1294</v>
      </c>
      <c r="E61" s="46" t="s">
        <v>1410</v>
      </c>
      <c r="F61" s="46" t="s">
        <v>1640</v>
      </c>
    </row>
    <row r="62" spans="1:6" ht="270.75" x14ac:dyDescent="0.2">
      <c r="A62" s="37" t="s">
        <v>631</v>
      </c>
      <c r="B62" s="46" t="s">
        <v>469</v>
      </c>
      <c r="C62" s="46" t="s">
        <v>632</v>
      </c>
      <c r="D62" s="46" t="s">
        <v>1287</v>
      </c>
      <c r="E62" s="46" t="s">
        <v>1410</v>
      </c>
      <c r="F62" s="46" t="s">
        <v>1985</v>
      </c>
    </row>
    <row r="63" spans="1:6" ht="28.5" x14ac:dyDescent="0.2">
      <c r="A63" s="37" t="s">
        <v>447</v>
      </c>
      <c r="B63" s="46" t="s">
        <v>469</v>
      </c>
      <c r="C63" s="131" t="str">
        <f ca="1">HYPERLINK("#" &amp; CELL("address", $A$62), "See definition of 'Manipulation of the payer'")</f>
        <v>See definition of 'Manipulation of the payer'</v>
      </c>
      <c r="E63" s="46" t="s">
        <v>1410</v>
      </c>
      <c r="F63" s="46" t="s">
        <v>1639</v>
      </c>
    </row>
    <row r="64" spans="1:6" ht="42.75" x14ac:dyDescent="0.2">
      <c r="A64" s="37" t="s">
        <v>1419</v>
      </c>
      <c r="B64" s="46" t="s">
        <v>469</v>
      </c>
      <c r="C64" s="131" t="str">
        <f ca="1">HYPERLINK("#" &amp; CELL("address", $A$62), "See definition of 'Manipulation of the payer'")</f>
        <v>See definition of 'Manipulation of the payer'</v>
      </c>
      <c r="E64" s="46" t="s">
        <v>1410</v>
      </c>
      <c r="F64" s="46" t="s">
        <v>1641</v>
      </c>
    </row>
    <row r="65" spans="1:6" ht="28.5" x14ac:dyDescent="0.2">
      <c r="A65" s="37" t="s">
        <v>1420</v>
      </c>
      <c r="B65" s="46" t="s">
        <v>469</v>
      </c>
      <c r="C65" s="131" t="str">
        <f ca="1">HYPERLINK("#" &amp; CELL("address", $A$62), "See definition of 'Manipulation of the payer'")</f>
        <v>See definition of 'Manipulation of the payer'</v>
      </c>
      <c r="E65" s="46" t="s">
        <v>1410</v>
      </c>
      <c r="F65" s="46" t="s">
        <v>1642</v>
      </c>
    </row>
    <row r="66" spans="1:6" ht="71.25" x14ac:dyDescent="0.2">
      <c r="A66" s="37" t="s">
        <v>744</v>
      </c>
      <c r="B66" s="46" t="s">
        <v>495</v>
      </c>
      <c r="C66" s="46" t="s">
        <v>1804</v>
      </c>
      <c r="E66" s="46" t="s">
        <v>1411</v>
      </c>
    </row>
    <row r="67" spans="1:6" ht="71.25" x14ac:dyDescent="0.2">
      <c r="A67" s="37" t="s">
        <v>753</v>
      </c>
      <c r="B67" s="46" t="s">
        <v>898</v>
      </c>
      <c r="C67" s="46" t="s">
        <v>1514</v>
      </c>
      <c r="D67" s="46" t="s">
        <v>701</v>
      </c>
      <c r="E67" s="46" t="s">
        <v>1410</v>
      </c>
      <c r="F67" s="46" t="s">
        <v>1983</v>
      </c>
    </row>
    <row r="68" spans="1:6" ht="71.25" x14ac:dyDescent="0.2">
      <c r="A68" s="37" t="s">
        <v>754</v>
      </c>
      <c r="B68" s="46" t="s">
        <v>898</v>
      </c>
      <c r="C68" s="46" t="s">
        <v>1515</v>
      </c>
      <c r="D68" s="46" t="s">
        <v>1386</v>
      </c>
      <c r="E68" s="46" t="s">
        <v>1410</v>
      </c>
      <c r="F68" s="46" t="s">
        <v>1983</v>
      </c>
    </row>
    <row r="69" spans="1:6" ht="42.75" x14ac:dyDescent="0.2">
      <c r="A69" s="37" t="s">
        <v>756</v>
      </c>
      <c r="B69" s="46" t="s">
        <v>755</v>
      </c>
      <c r="C69" s="46" t="s">
        <v>1216</v>
      </c>
      <c r="E69" s="46" t="s">
        <v>1410</v>
      </c>
      <c r="F69" s="46" t="s">
        <v>1984</v>
      </c>
    </row>
    <row r="70" spans="1:6" ht="71.25" x14ac:dyDescent="0.2">
      <c r="A70" s="37" t="s">
        <v>901</v>
      </c>
      <c r="B70" s="46" t="s">
        <v>755</v>
      </c>
      <c r="C70" s="46" t="s">
        <v>1214</v>
      </c>
      <c r="E70" s="46" t="s">
        <v>1410</v>
      </c>
      <c r="F70" s="46" t="s">
        <v>1984</v>
      </c>
    </row>
    <row r="71" spans="1:6" ht="42.75" x14ac:dyDescent="0.2">
      <c r="A71" s="37" t="s">
        <v>1067</v>
      </c>
      <c r="B71" s="46" t="s">
        <v>469</v>
      </c>
      <c r="C71" s="46" t="s">
        <v>720</v>
      </c>
      <c r="D71" s="46" t="s">
        <v>1910</v>
      </c>
      <c r="E71" s="46" t="s">
        <v>1410</v>
      </c>
      <c r="F71" s="46" t="s">
        <v>1985</v>
      </c>
    </row>
    <row r="72" spans="1:6" ht="28.5" x14ac:dyDescent="0.2">
      <c r="A72" s="37" t="s">
        <v>1422</v>
      </c>
      <c r="B72" s="46" t="s">
        <v>469</v>
      </c>
      <c r="C72" s="131" t="str">
        <f ca="1">HYPERLINK("#" &amp; CELL("address", $A$71), "See definition of 'Unauthorised payment transaction'")</f>
        <v>See definition of 'Unauthorised payment transaction'</v>
      </c>
      <c r="E72" s="46" t="s">
        <v>1410</v>
      </c>
      <c r="F72" s="46" t="s">
        <v>1642</v>
      </c>
    </row>
    <row r="73" spans="1:6" ht="42.75" x14ac:dyDescent="0.2">
      <c r="A73" s="37" t="s">
        <v>1421</v>
      </c>
      <c r="B73" s="46" t="s">
        <v>469</v>
      </c>
      <c r="C73" s="131" t="str">
        <f ca="1">HYPERLINK("#" &amp; CELL("address", $A$71), "See definition of 'Unauthorised payment transaction'")</f>
        <v>See definition of 'Unauthorised payment transaction'</v>
      </c>
      <c r="E73" s="46" t="s">
        <v>1410</v>
      </c>
      <c r="F73" s="46" t="s">
        <v>1641</v>
      </c>
    </row>
    <row r="74" spans="1:6" ht="199.5" x14ac:dyDescent="0.2">
      <c r="A74" s="37" t="s">
        <v>748</v>
      </c>
      <c r="B74" s="46" t="s">
        <v>1423</v>
      </c>
      <c r="C74" s="46" t="s">
        <v>562</v>
      </c>
      <c r="D74" s="46" t="s">
        <v>1229</v>
      </c>
      <c r="E74" s="46" t="s">
        <v>1410</v>
      </c>
      <c r="F74" s="46" t="s">
        <v>1643</v>
      </c>
    </row>
    <row r="75" spans="1:6" ht="85.5" x14ac:dyDescent="0.2">
      <c r="A75" s="37" t="s">
        <v>778</v>
      </c>
      <c r="B75" s="46" t="s">
        <v>1423</v>
      </c>
      <c r="C75" s="46" t="s">
        <v>1237</v>
      </c>
      <c r="D75" s="46" t="s">
        <v>1238</v>
      </c>
      <c r="E75" s="46" t="s">
        <v>1410</v>
      </c>
      <c r="F75" s="46" t="s">
        <v>1643</v>
      </c>
    </row>
    <row r="76" spans="1:6" ht="99.75" x14ac:dyDescent="0.2">
      <c r="A76" s="37" t="s">
        <v>779</v>
      </c>
      <c r="B76" s="46" t="s">
        <v>902</v>
      </c>
      <c r="C76" s="67" t="s">
        <v>1516</v>
      </c>
      <c r="E76" s="46" t="s">
        <v>1411</v>
      </c>
      <c r="F76" s="46" t="s">
        <v>1644</v>
      </c>
    </row>
    <row r="77" spans="1:6" ht="85.5" x14ac:dyDescent="0.2">
      <c r="A77" s="37" t="s">
        <v>780</v>
      </c>
      <c r="B77" s="46" t="s">
        <v>902</v>
      </c>
      <c r="C77" s="67" t="s">
        <v>1517</v>
      </c>
      <c r="E77" s="46" t="s">
        <v>1411</v>
      </c>
      <c r="F77" s="46" t="s">
        <v>1645</v>
      </c>
    </row>
    <row r="78" spans="1:6" ht="28.5" x14ac:dyDescent="0.2">
      <c r="A78" s="37" t="s">
        <v>1424</v>
      </c>
      <c r="B78" s="46" t="s">
        <v>241</v>
      </c>
      <c r="C78" s="67" t="s">
        <v>1522</v>
      </c>
      <c r="E78" s="46" t="s">
        <v>1411</v>
      </c>
      <c r="F78" s="46" t="s">
        <v>1646</v>
      </c>
    </row>
    <row r="79" spans="1:6" ht="28.5" x14ac:dyDescent="0.2">
      <c r="A79" s="37" t="s">
        <v>1518</v>
      </c>
      <c r="B79" s="46" t="s">
        <v>241</v>
      </c>
      <c r="C79" s="67" t="s">
        <v>1522</v>
      </c>
      <c r="E79" s="46" t="s">
        <v>1411</v>
      </c>
      <c r="F79" s="46" t="s">
        <v>1646</v>
      </c>
    </row>
    <row r="80" spans="1:6" ht="28.5" x14ac:dyDescent="0.2">
      <c r="A80" s="37" t="s">
        <v>1519</v>
      </c>
      <c r="B80" s="46" t="s">
        <v>241</v>
      </c>
      <c r="C80" s="67" t="s">
        <v>1521</v>
      </c>
      <c r="E80" s="46" t="s">
        <v>1411</v>
      </c>
      <c r="F80" s="46" t="s">
        <v>1646</v>
      </c>
    </row>
    <row r="81" spans="1:6" ht="28.5" x14ac:dyDescent="0.2">
      <c r="A81" s="37" t="s">
        <v>1520</v>
      </c>
      <c r="B81" s="46" t="s">
        <v>241</v>
      </c>
      <c r="C81" s="67" t="s">
        <v>1521</v>
      </c>
      <c r="E81" s="46" t="s">
        <v>1411</v>
      </c>
      <c r="F81" s="46" t="s">
        <v>1646</v>
      </c>
    </row>
    <row r="82" spans="1:6" ht="28.5" x14ac:dyDescent="0.2">
      <c r="A82" s="37" t="s">
        <v>38</v>
      </c>
      <c r="B82" s="46" t="s">
        <v>241</v>
      </c>
      <c r="C82" s="67" t="s">
        <v>1523</v>
      </c>
      <c r="D82" s="46" t="s">
        <v>1426</v>
      </c>
      <c r="E82" s="46" t="s">
        <v>1411</v>
      </c>
      <c r="F82" s="46" t="s">
        <v>1646</v>
      </c>
    </row>
    <row r="83" spans="1:6" ht="28.5" x14ac:dyDescent="0.2">
      <c r="A83" s="37" t="s">
        <v>1425</v>
      </c>
      <c r="B83" s="46" t="s">
        <v>241</v>
      </c>
      <c r="C83" s="67" t="s">
        <v>1523</v>
      </c>
      <c r="E83" s="46" t="s">
        <v>1411</v>
      </c>
      <c r="F83" s="46" t="s">
        <v>1646</v>
      </c>
    </row>
    <row r="84" spans="1:6" ht="28.5" x14ac:dyDescent="0.2">
      <c r="A84" s="37" t="s">
        <v>40</v>
      </c>
      <c r="B84" s="46" t="s">
        <v>241</v>
      </c>
      <c r="C84" s="67" t="s">
        <v>1523</v>
      </c>
      <c r="E84" s="46" t="s">
        <v>1411</v>
      </c>
      <c r="F84" s="46" t="s">
        <v>1646</v>
      </c>
    </row>
    <row r="85" spans="1:6" ht="28.5" x14ac:dyDescent="0.2">
      <c r="A85" s="37" t="s">
        <v>42</v>
      </c>
      <c r="B85" s="46" t="s">
        <v>241</v>
      </c>
      <c r="C85" s="67" t="s">
        <v>1523</v>
      </c>
      <c r="D85" s="46" t="s">
        <v>1426</v>
      </c>
      <c r="E85" s="46" t="s">
        <v>1411</v>
      </c>
      <c r="F85" s="46" t="s">
        <v>1646</v>
      </c>
    </row>
    <row r="86" spans="1:6" ht="28.5" x14ac:dyDescent="0.2">
      <c r="A86" s="37" t="s">
        <v>44</v>
      </c>
      <c r="B86" s="46" t="s">
        <v>241</v>
      </c>
      <c r="C86" s="67" t="s">
        <v>1523</v>
      </c>
      <c r="E86" s="46" t="s">
        <v>1411</v>
      </c>
      <c r="F86" s="46" t="s">
        <v>1646</v>
      </c>
    </row>
    <row r="87" spans="1:6" ht="99.75" x14ac:dyDescent="0.2">
      <c r="A87" s="37" t="s">
        <v>2442</v>
      </c>
      <c r="B87" s="46" t="s">
        <v>495</v>
      </c>
      <c r="C87" s="67" t="s">
        <v>2659</v>
      </c>
      <c r="E87" s="46" t="s">
        <v>1411</v>
      </c>
      <c r="F87" s="46"/>
    </row>
    <row r="88" spans="1:6" ht="114" x14ac:dyDescent="0.2">
      <c r="A88" s="37" t="s">
        <v>2395</v>
      </c>
      <c r="B88" s="46" t="s">
        <v>495</v>
      </c>
      <c r="C88" s="67" t="s">
        <v>2473</v>
      </c>
      <c r="D88" s="46" t="s">
        <v>2441</v>
      </c>
      <c r="E88" s="46" t="s">
        <v>1411</v>
      </c>
      <c r="F88" s="46"/>
    </row>
    <row r="89" spans="1:6" ht="28.5" x14ac:dyDescent="0.2">
      <c r="A89" s="37" t="s">
        <v>775</v>
      </c>
      <c r="B89" s="46" t="s">
        <v>1423</v>
      </c>
      <c r="C89" s="172" t="s">
        <v>2500</v>
      </c>
      <c r="D89" s="46" t="s">
        <v>1918</v>
      </c>
      <c r="E89" s="46" t="s">
        <v>1411</v>
      </c>
      <c r="F89" s="46" t="s">
        <v>1647</v>
      </c>
    </row>
    <row r="90" spans="1:6" ht="28.5" x14ac:dyDescent="0.2">
      <c r="A90" s="37" t="s">
        <v>774</v>
      </c>
      <c r="B90" s="46" t="s">
        <v>1423</v>
      </c>
      <c r="C90" s="46" t="s">
        <v>1954</v>
      </c>
      <c r="D90" s="131" t="str">
        <f ca="1">HYPERLINK("#" &amp; CELL("address", $A$74), "See also definition of 'credit transfer'")</f>
        <v>See also definition of 'credit transfer'</v>
      </c>
      <c r="E90" s="46" t="s">
        <v>1411</v>
      </c>
      <c r="F90" s="46" t="s">
        <v>1647</v>
      </c>
    </row>
    <row r="91" spans="1:6" ht="28.5" x14ac:dyDescent="0.2">
      <c r="A91" s="37" t="s">
        <v>1091</v>
      </c>
      <c r="B91" s="46" t="s">
        <v>1423</v>
      </c>
      <c r="C91" s="46" t="s">
        <v>2501</v>
      </c>
      <c r="D91" s="46" t="s">
        <v>1919</v>
      </c>
      <c r="E91" s="46" t="s">
        <v>1411</v>
      </c>
      <c r="F91" s="46" t="s">
        <v>1647</v>
      </c>
    </row>
    <row r="92" spans="1:6" ht="28.5" x14ac:dyDescent="0.2">
      <c r="A92" s="37" t="s">
        <v>1090</v>
      </c>
      <c r="B92" s="46" t="s">
        <v>1423</v>
      </c>
      <c r="C92" s="46" t="s">
        <v>1955</v>
      </c>
      <c r="D92" s="131" t="str">
        <f ca="1">HYPERLINK("#" &amp; CELL("address", $A$75), "See also definition of 'direct debit'")</f>
        <v>See also definition of 'direct debit'</v>
      </c>
      <c r="E92" s="46" t="s">
        <v>1411</v>
      </c>
      <c r="F92" s="46" t="s">
        <v>1647</v>
      </c>
    </row>
    <row r="93" spans="1:6" ht="28.5" x14ac:dyDescent="0.2">
      <c r="A93" s="37" t="s">
        <v>61</v>
      </c>
      <c r="B93" s="46" t="s">
        <v>905</v>
      </c>
      <c r="C93" s="46" t="s">
        <v>1427</v>
      </c>
      <c r="E93" s="46" t="s">
        <v>1411</v>
      </c>
      <c r="F93" s="46" t="s">
        <v>1647</v>
      </c>
    </row>
    <row r="94" spans="1:6" ht="28.5" x14ac:dyDescent="0.2">
      <c r="A94" s="37" t="s">
        <v>271</v>
      </c>
      <c r="B94" s="46" t="s">
        <v>905</v>
      </c>
      <c r="C94" s="46" t="s">
        <v>1428</v>
      </c>
      <c r="E94" s="46" t="s">
        <v>1411</v>
      </c>
      <c r="F94" s="46" t="s">
        <v>1647</v>
      </c>
    </row>
    <row r="95" spans="1:6" ht="99.75" x14ac:dyDescent="0.2">
      <c r="A95" s="37" t="s">
        <v>799</v>
      </c>
      <c r="B95" s="46" t="s">
        <v>1437</v>
      </c>
      <c r="C95" s="46" t="s">
        <v>565</v>
      </c>
      <c r="D95" s="46" t="s">
        <v>2498</v>
      </c>
      <c r="E95" s="46" t="s">
        <v>1952</v>
      </c>
      <c r="F95" s="46" t="s">
        <v>1986</v>
      </c>
    </row>
    <row r="96" spans="1:6" ht="99.75" x14ac:dyDescent="0.2">
      <c r="A96" s="37" t="s">
        <v>568</v>
      </c>
      <c r="B96" s="46" t="s">
        <v>1437</v>
      </c>
      <c r="C96" s="46" t="s">
        <v>569</v>
      </c>
      <c r="D96" s="46" t="s">
        <v>1431</v>
      </c>
      <c r="E96" s="46" t="s">
        <v>1410</v>
      </c>
      <c r="F96" s="46" t="s">
        <v>1986</v>
      </c>
    </row>
    <row r="97" spans="1:6" ht="99.75" x14ac:dyDescent="0.2">
      <c r="A97" s="37" t="s">
        <v>556</v>
      </c>
      <c r="B97" s="46" t="s">
        <v>1437</v>
      </c>
      <c r="C97" s="46" t="s">
        <v>1430</v>
      </c>
      <c r="D97" s="131" t="str">
        <f ca="1">HYPERLINK("#" &amp; CELL("address", $A$96), "See also definition of 'delayed debit card', where the difference between ’credit card’ and ’delayed debit card’ is explained.")</f>
        <v>See also definition of 'delayed debit card', where the difference between ’credit card’ and ’delayed debit card’ is explained.</v>
      </c>
      <c r="E97" s="46" t="s">
        <v>1410</v>
      </c>
      <c r="F97" s="46" t="s">
        <v>1986</v>
      </c>
    </row>
    <row r="98" spans="1:6" ht="99.75" x14ac:dyDescent="0.2">
      <c r="A98" s="37" t="s">
        <v>803</v>
      </c>
      <c r="B98" s="46" t="s">
        <v>1437</v>
      </c>
      <c r="C98" s="46" t="s">
        <v>1432</v>
      </c>
      <c r="D98" s="46" t="s">
        <v>1433</v>
      </c>
      <c r="E98" s="46" t="s">
        <v>1411</v>
      </c>
      <c r="F98" s="46" t="s">
        <v>1986</v>
      </c>
    </row>
    <row r="99" spans="1:6" ht="99.75" x14ac:dyDescent="0.2">
      <c r="A99" s="37" t="s">
        <v>1057</v>
      </c>
      <c r="B99" s="46" t="s">
        <v>1437</v>
      </c>
      <c r="C99" s="172"/>
      <c r="D99" s="172" t="s">
        <v>1672</v>
      </c>
      <c r="E99" s="46" t="s">
        <v>1411</v>
      </c>
      <c r="F99" s="46" t="s">
        <v>1986</v>
      </c>
    </row>
    <row r="100" spans="1:6" ht="57" x14ac:dyDescent="0.2">
      <c r="A100" s="37" t="s">
        <v>989</v>
      </c>
      <c r="B100" s="46" t="s">
        <v>1437</v>
      </c>
      <c r="C100" s="46" t="s">
        <v>1434</v>
      </c>
      <c r="E100" s="46" t="s">
        <v>1411</v>
      </c>
      <c r="F100" s="46" t="s">
        <v>2529</v>
      </c>
    </row>
    <row r="101" spans="1:6" ht="99.75" x14ac:dyDescent="0.2">
      <c r="A101" s="37" t="s">
        <v>359</v>
      </c>
      <c r="B101" s="46" t="s">
        <v>1437</v>
      </c>
      <c r="C101" s="46" t="s">
        <v>1671</v>
      </c>
      <c r="E101" s="46" t="s">
        <v>1411</v>
      </c>
      <c r="F101" s="46" t="s">
        <v>1986</v>
      </c>
    </row>
    <row r="102" spans="1:6" ht="42.75" x14ac:dyDescent="0.2">
      <c r="A102" s="37" t="s">
        <v>880</v>
      </c>
      <c r="B102" s="46" t="s">
        <v>495</v>
      </c>
      <c r="C102" s="46" t="s">
        <v>1178</v>
      </c>
      <c r="D102" s="46" t="s">
        <v>1435</v>
      </c>
      <c r="E102" s="46" t="s">
        <v>1410</v>
      </c>
    </row>
    <row r="103" spans="1:6" ht="42.75" x14ac:dyDescent="0.2">
      <c r="A103" s="37" t="s">
        <v>805</v>
      </c>
      <c r="B103" s="46" t="s">
        <v>495</v>
      </c>
      <c r="C103" s="46" t="s">
        <v>666</v>
      </c>
      <c r="D103" s="46" t="s">
        <v>1436</v>
      </c>
      <c r="E103" s="46" t="s">
        <v>1410</v>
      </c>
    </row>
    <row r="104" spans="1:6" ht="114" x14ac:dyDescent="0.2">
      <c r="A104" s="37" t="s">
        <v>911</v>
      </c>
      <c r="B104" s="46" t="s">
        <v>805</v>
      </c>
      <c r="C104" s="46" t="s">
        <v>1481</v>
      </c>
      <c r="E104" s="46" t="s">
        <v>1411</v>
      </c>
      <c r="F104" s="46" t="s">
        <v>1987</v>
      </c>
    </row>
    <row r="105" spans="1:6" ht="71.25" x14ac:dyDescent="0.2">
      <c r="A105" s="37" t="s">
        <v>135</v>
      </c>
      <c r="B105" s="46" t="s">
        <v>1483</v>
      </c>
      <c r="C105" s="46" t="s">
        <v>500</v>
      </c>
      <c r="D105" s="132"/>
      <c r="E105" s="46" t="s">
        <v>1410</v>
      </c>
      <c r="F105" s="46" t="s">
        <v>1988</v>
      </c>
    </row>
    <row r="106" spans="1:6" ht="57" x14ac:dyDescent="0.2">
      <c r="A106" s="37" t="s">
        <v>845</v>
      </c>
      <c r="B106" s="46" t="s">
        <v>1483</v>
      </c>
      <c r="C106" s="46" t="s">
        <v>680</v>
      </c>
      <c r="D106" s="46" t="s">
        <v>1373</v>
      </c>
      <c r="E106" s="46" t="s">
        <v>1410</v>
      </c>
      <c r="F106" s="46" t="s">
        <v>1648</v>
      </c>
    </row>
    <row r="107" spans="1:6" ht="71.25" x14ac:dyDescent="0.2">
      <c r="A107" s="37" t="s">
        <v>1499</v>
      </c>
      <c r="B107" s="46" t="s">
        <v>1483</v>
      </c>
      <c r="C107" s="67" t="s">
        <v>1246</v>
      </c>
      <c r="D107" s="67" t="s">
        <v>1247</v>
      </c>
      <c r="E107" s="46" t="s">
        <v>1410</v>
      </c>
      <c r="F107" s="46" t="s">
        <v>1988</v>
      </c>
    </row>
    <row r="108" spans="1:6" ht="71.25" x14ac:dyDescent="0.2">
      <c r="A108" s="37" t="s">
        <v>182</v>
      </c>
      <c r="B108" s="46" t="s">
        <v>1483</v>
      </c>
      <c r="C108" s="46" t="s">
        <v>1484</v>
      </c>
      <c r="E108" s="46" t="s">
        <v>1411</v>
      </c>
      <c r="F108" s="46" t="s">
        <v>1988</v>
      </c>
    </row>
    <row r="109" spans="1:6" ht="71.25" x14ac:dyDescent="0.2">
      <c r="A109" s="37" t="s">
        <v>844</v>
      </c>
      <c r="B109" s="46" t="s">
        <v>1483</v>
      </c>
      <c r="C109" s="131" t="str">
        <f ca="1">HYPERLINK("#" &amp; CELL("address", $A$34), "See definition of 'E-commerce payment'")</f>
        <v>See definition of 'E-commerce payment'</v>
      </c>
      <c r="D109" s="46" t="s">
        <v>2477</v>
      </c>
      <c r="E109" s="46" t="s">
        <v>1410</v>
      </c>
      <c r="F109" s="46" t="s">
        <v>1988</v>
      </c>
    </row>
    <row r="110" spans="1:6" ht="71.25" x14ac:dyDescent="0.2">
      <c r="A110" s="37" t="s">
        <v>399</v>
      </c>
      <c r="B110" s="46" t="s">
        <v>1483</v>
      </c>
      <c r="C110" s="46" t="s">
        <v>1485</v>
      </c>
      <c r="E110" s="46" t="s">
        <v>1410</v>
      </c>
      <c r="F110" s="46" t="s">
        <v>1988</v>
      </c>
    </row>
    <row r="111" spans="1:6" ht="85.5" x14ac:dyDescent="0.2">
      <c r="A111" s="37" t="s">
        <v>137</v>
      </c>
      <c r="B111" s="46" t="s">
        <v>177</v>
      </c>
      <c r="C111" s="46" t="s">
        <v>1764</v>
      </c>
      <c r="D111" s="46" t="s">
        <v>1486</v>
      </c>
      <c r="E111" s="46" t="s">
        <v>1411</v>
      </c>
      <c r="F111" s="46" t="s">
        <v>1989</v>
      </c>
    </row>
    <row r="112" spans="1:6" ht="42.75" x14ac:dyDescent="0.2">
      <c r="A112" s="37" t="s">
        <v>1762</v>
      </c>
      <c r="B112" s="46" t="s">
        <v>177</v>
      </c>
      <c r="C112" s="46" t="s">
        <v>1922</v>
      </c>
      <c r="D112" s="131" t="str">
        <f ca="1">HYPERLINK("#" &amp; CELL("address", $A$113), "See definition of 'Refund' (operation type)")</f>
        <v>See definition of 'Refund' (operation type)</v>
      </c>
      <c r="E112" s="46" t="s">
        <v>1411</v>
      </c>
      <c r="F112" s="46" t="s">
        <v>1648</v>
      </c>
    </row>
    <row r="113" spans="1:6" ht="71.25" x14ac:dyDescent="0.2">
      <c r="A113" s="37" t="s">
        <v>42</v>
      </c>
      <c r="B113" s="46" t="s">
        <v>177</v>
      </c>
      <c r="C113" s="67" t="s">
        <v>1487</v>
      </c>
      <c r="E113" s="46" t="s">
        <v>1410</v>
      </c>
      <c r="F113" s="46" t="s">
        <v>1648</v>
      </c>
    </row>
    <row r="114" spans="1:6" ht="142.5" x14ac:dyDescent="0.2">
      <c r="A114" s="37" t="s">
        <v>843</v>
      </c>
      <c r="B114" s="46" t="s">
        <v>177</v>
      </c>
      <c r="C114" s="46" t="s">
        <v>1202</v>
      </c>
      <c r="D114" s="46" t="s">
        <v>1488</v>
      </c>
      <c r="E114" s="46" t="s">
        <v>1410</v>
      </c>
      <c r="F114" s="46" t="s">
        <v>1988</v>
      </c>
    </row>
    <row r="115" spans="1:6" ht="71.25" x14ac:dyDescent="0.2">
      <c r="A115" s="37" t="s">
        <v>1182</v>
      </c>
      <c r="B115" s="46" t="s">
        <v>177</v>
      </c>
      <c r="C115" s="46" t="s">
        <v>1183</v>
      </c>
      <c r="E115" s="46" t="s">
        <v>1410</v>
      </c>
      <c r="F115" s="46" t="s">
        <v>1988</v>
      </c>
    </row>
    <row r="116" spans="1:6" ht="57" x14ac:dyDescent="0.2">
      <c r="A116" s="37" t="s">
        <v>156</v>
      </c>
      <c r="B116" s="46" t="s">
        <v>177</v>
      </c>
      <c r="C116" s="46" t="s">
        <v>1180</v>
      </c>
      <c r="E116" s="46" t="s">
        <v>1410</v>
      </c>
      <c r="F116" s="46" t="s">
        <v>1648</v>
      </c>
    </row>
    <row r="117" spans="1:6" ht="71.25" x14ac:dyDescent="0.2">
      <c r="A117" s="37" t="s">
        <v>1941</v>
      </c>
      <c r="B117" s="46" t="s">
        <v>462</v>
      </c>
      <c r="C117" s="171" t="s">
        <v>1943</v>
      </c>
      <c r="E117" s="46" t="s">
        <v>1411</v>
      </c>
      <c r="F117" s="46" t="s">
        <v>1988</v>
      </c>
    </row>
    <row r="118" spans="1:6" ht="71.25" x14ac:dyDescent="0.2">
      <c r="A118" s="37" t="s">
        <v>1944</v>
      </c>
      <c r="B118" s="46" t="s">
        <v>462</v>
      </c>
      <c r="C118" s="171" t="s">
        <v>1945</v>
      </c>
      <c r="D118" s="46" t="s">
        <v>1946</v>
      </c>
      <c r="E118" s="46" t="s">
        <v>1411</v>
      </c>
      <c r="F118" s="46" t="s">
        <v>1988</v>
      </c>
    </row>
    <row r="119" spans="1:6" ht="71.25" x14ac:dyDescent="0.2">
      <c r="A119" s="37" t="s">
        <v>1491</v>
      </c>
      <c r="B119" s="46" t="s">
        <v>462</v>
      </c>
      <c r="C119" s="46" t="s">
        <v>1670</v>
      </c>
      <c r="D119" s="46" t="s">
        <v>1220</v>
      </c>
      <c r="E119" s="46" t="s">
        <v>1410</v>
      </c>
    </row>
    <row r="120" spans="1:6" ht="71.25" x14ac:dyDescent="0.2">
      <c r="A120" s="37" t="s">
        <v>1489</v>
      </c>
      <c r="B120" s="46" t="s">
        <v>462</v>
      </c>
      <c r="C120" s="46" t="s">
        <v>642</v>
      </c>
      <c r="D120" s="46" t="s">
        <v>1296</v>
      </c>
      <c r="E120" s="46" t="s">
        <v>1410</v>
      </c>
      <c r="F120" s="46" t="s">
        <v>1988</v>
      </c>
    </row>
    <row r="121" spans="1:6" ht="71.25" x14ac:dyDescent="0.2">
      <c r="A121" s="173" t="s">
        <v>1490</v>
      </c>
      <c r="B121" s="46" t="s">
        <v>462</v>
      </c>
      <c r="C121" s="46" t="s">
        <v>1492</v>
      </c>
      <c r="D121" s="131" t="str">
        <f ca="1">HYPERLINK("#" &amp; CELL("address", $A$120), "See definition of 'using NFC'.")</f>
        <v>See definition of 'using NFC'.</v>
      </c>
      <c r="E121" s="46" t="s">
        <v>1411</v>
      </c>
      <c r="F121" s="46" t="s">
        <v>1988</v>
      </c>
    </row>
    <row r="122" spans="1:6" ht="99.75" x14ac:dyDescent="0.2">
      <c r="A122" s="37" t="s">
        <v>635</v>
      </c>
      <c r="B122" s="46" t="s">
        <v>422</v>
      </c>
      <c r="C122" s="46" t="s">
        <v>636</v>
      </c>
      <c r="D122" s="46" t="s">
        <v>1290</v>
      </c>
      <c r="E122" s="46" t="s">
        <v>1410</v>
      </c>
      <c r="F122" s="46" t="s">
        <v>1990</v>
      </c>
    </row>
    <row r="123" spans="1:6" ht="42.75" x14ac:dyDescent="0.2">
      <c r="A123" s="37" t="s">
        <v>626</v>
      </c>
      <c r="B123" s="46" t="s">
        <v>469</v>
      </c>
      <c r="C123" s="46" t="s">
        <v>627</v>
      </c>
      <c r="D123" s="46" t="s">
        <v>1191</v>
      </c>
      <c r="E123" s="46" t="s">
        <v>1410</v>
      </c>
      <c r="F123" s="46" t="s">
        <v>1641</v>
      </c>
    </row>
    <row r="124" spans="1:6" ht="28.5" x14ac:dyDescent="0.2">
      <c r="A124" s="37" t="s">
        <v>628</v>
      </c>
      <c r="B124" s="46" t="s">
        <v>469</v>
      </c>
      <c r="C124" s="131" t="str">
        <f ca="1">HYPERLINK("#" &amp; CELL("address", $A$123), "See definition of 'Lost or Stolen card'")</f>
        <v>See definition of 'Lost or Stolen card'</v>
      </c>
      <c r="E124" s="46" t="s">
        <v>1410</v>
      </c>
      <c r="F124" s="46" t="s">
        <v>1642</v>
      </c>
    </row>
    <row r="125" spans="1:6" ht="42.75" x14ac:dyDescent="0.2">
      <c r="A125" s="37" t="s">
        <v>1493</v>
      </c>
      <c r="B125" s="46" t="s">
        <v>469</v>
      </c>
      <c r="C125" s="46" t="s">
        <v>517</v>
      </c>
      <c r="D125" s="46" t="s">
        <v>1191</v>
      </c>
      <c r="E125" s="46" t="s">
        <v>1410</v>
      </c>
      <c r="F125" s="46" t="s">
        <v>1641</v>
      </c>
    </row>
    <row r="126" spans="1:6" ht="28.5" x14ac:dyDescent="0.2">
      <c r="A126" s="37" t="s">
        <v>587</v>
      </c>
      <c r="B126" s="46" t="s">
        <v>469</v>
      </c>
      <c r="C126" s="131" t="str">
        <f ca="1">HYPERLINK("#" &amp; CELL("address", $A$125), "See definition of 'Card Not Received'.")</f>
        <v>See definition of 'Card Not Received'.</v>
      </c>
      <c r="E126" s="46" t="s">
        <v>1410</v>
      </c>
      <c r="F126" s="46" t="s">
        <v>1642</v>
      </c>
    </row>
    <row r="127" spans="1:6" ht="57" x14ac:dyDescent="0.2">
      <c r="A127" s="37" t="s">
        <v>1494</v>
      </c>
      <c r="B127" s="46" t="s">
        <v>469</v>
      </c>
      <c r="C127" s="46" t="s">
        <v>553</v>
      </c>
      <c r="D127" s="46" t="s">
        <v>1221</v>
      </c>
      <c r="E127" s="46" t="s">
        <v>1410</v>
      </c>
      <c r="F127" s="46" t="s">
        <v>1641</v>
      </c>
    </row>
    <row r="128" spans="1:6" ht="28.5" x14ac:dyDescent="0.2">
      <c r="A128" s="37" t="s">
        <v>554</v>
      </c>
      <c r="B128" s="46" t="s">
        <v>469</v>
      </c>
      <c r="C128" s="131" t="str">
        <f ca="1">HYPERLINK("#" &amp; CELL("address", $A$127), "See definition of 'Counterfeit card'.")</f>
        <v>See definition of 'Counterfeit card'.</v>
      </c>
      <c r="E128" s="46" t="s">
        <v>1410</v>
      </c>
      <c r="F128" s="46" t="s">
        <v>1642</v>
      </c>
    </row>
    <row r="129" spans="1:6" ht="99.75" x14ac:dyDescent="0.2">
      <c r="A129" s="37" t="s">
        <v>1495</v>
      </c>
      <c r="B129" s="46" t="s">
        <v>469</v>
      </c>
      <c r="C129" s="46" t="s">
        <v>515</v>
      </c>
      <c r="D129" s="46" t="s">
        <v>1496</v>
      </c>
      <c r="E129" s="46" t="s">
        <v>1410</v>
      </c>
      <c r="F129" s="46" t="s">
        <v>1649</v>
      </c>
    </row>
    <row r="130" spans="1:6" ht="71.25" x14ac:dyDescent="0.2">
      <c r="A130" s="37" t="s">
        <v>2560</v>
      </c>
      <c r="B130" s="46" t="s">
        <v>633</v>
      </c>
      <c r="C130" s="46" t="s">
        <v>634</v>
      </c>
      <c r="D130" s="46" t="s">
        <v>2346</v>
      </c>
      <c r="E130" s="46" t="s">
        <v>1410</v>
      </c>
      <c r="F130" s="46" t="s">
        <v>1650</v>
      </c>
    </row>
    <row r="131" spans="1:6" ht="42.75" x14ac:dyDescent="0.2">
      <c r="A131" s="37" t="s">
        <v>856</v>
      </c>
      <c r="B131" s="46" t="s">
        <v>177</v>
      </c>
      <c r="C131" s="46" t="s">
        <v>1924</v>
      </c>
      <c r="E131" s="46" t="s">
        <v>1411</v>
      </c>
      <c r="F131" s="46" t="s">
        <v>1651</v>
      </c>
    </row>
    <row r="132" spans="1:6" ht="42.75" x14ac:dyDescent="0.2">
      <c r="A132" s="37" t="s">
        <v>153</v>
      </c>
      <c r="B132" s="46" t="s">
        <v>177</v>
      </c>
      <c r="C132" s="46" t="s">
        <v>1925</v>
      </c>
      <c r="E132" s="46" t="s">
        <v>1411</v>
      </c>
      <c r="F132" s="46" t="s">
        <v>1651</v>
      </c>
    </row>
    <row r="133" spans="1:6" ht="28.5" x14ac:dyDescent="0.2">
      <c r="A133" s="37" t="s">
        <v>151</v>
      </c>
      <c r="B133" s="46" t="s">
        <v>861</v>
      </c>
      <c r="C133" s="67" t="s">
        <v>1524</v>
      </c>
      <c r="E133" s="46" t="s">
        <v>1411</v>
      </c>
      <c r="F133" s="46" t="s">
        <v>1652</v>
      </c>
    </row>
    <row r="134" spans="1:6" ht="114" x14ac:dyDescent="0.2">
      <c r="A134" s="37" t="s">
        <v>1038</v>
      </c>
      <c r="B134" s="46" t="s">
        <v>861</v>
      </c>
      <c r="C134" s="131" t="str">
        <f ca="1">HYPERLINK("#" &amp; CELL("address", $A$74), "See definition of 'Credit transfer' (payment instrument type).")</f>
        <v>See definition of 'Credit transfer' (payment instrument type).</v>
      </c>
      <c r="D134" s="171" t="s">
        <v>1526</v>
      </c>
      <c r="E134" s="46" t="s">
        <v>1411</v>
      </c>
      <c r="F134" s="46" t="s">
        <v>1653</v>
      </c>
    </row>
    <row r="135" spans="1:6" ht="114" x14ac:dyDescent="0.2">
      <c r="A135" s="37" t="s">
        <v>1039</v>
      </c>
      <c r="B135" s="46" t="s">
        <v>861</v>
      </c>
      <c r="C135" s="131" t="str">
        <f ca="1">HYPERLINK("#" &amp; CELL("address", $A$75), "See definition of 'direct debit' (payment instrument type)")</f>
        <v>See definition of 'direct debit' (payment instrument type)</v>
      </c>
      <c r="D135" s="171" t="s">
        <v>1525</v>
      </c>
      <c r="E135" s="46" t="s">
        <v>1411</v>
      </c>
      <c r="F135" s="46" t="s">
        <v>1653</v>
      </c>
    </row>
    <row r="136" spans="1:6" ht="128.25" x14ac:dyDescent="0.2">
      <c r="A136" s="37" t="s">
        <v>862</v>
      </c>
      <c r="B136" s="46" t="s">
        <v>861</v>
      </c>
      <c r="C136" s="46" t="s">
        <v>1794</v>
      </c>
      <c r="D136" s="171" t="s">
        <v>2503</v>
      </c>
      <c r="E136" s="46" t="s">
        <v>1410</v>
      </c>
      <c r="F136" s="46" t="s">
        <v>1653</v>
      </c>
    </row>
    <row r="137" spans="1:6" ht="171" x14ac:dyDescent="0.2">
      <c r="A137" s="37" t="s">
        <v>886</v>
      </c>
      <c r="B137" s="46" t="s">
        <v>1423</v>
      </c>
      <c r="C137" s="46" t="s">
        <v>544</v>
      </c>
      <c r="D137" s="67" t="s">
        <v>1207</v>
      </c>
      <c r="E137" s="46" t="s">
        <v>1410</v>
      </c>
      <c r="F137" s="46" t="s">
        <v>1991</v>
      </c>
    </row>
    <row r="138" spans="1:6" ht="171" x14ac:dyDescent="0.2">
      <c r="A138" s="37" t="s">
        <v>1808</v>
      </c>
      <c r="B138" s="46" t="s">
        <v>1423</v>
      </c>
      <c r="C138" s="46" t="s">
        <v>1809</v>
      </c>
      <c r="D138" s="46" t="s">
        <v>1811</v>
      </c>
      <c r="E138" s="46" t="s">
        <v>1410</v>
      </c>
      <c r="F138" s="46" t="s">
        <v>1991</v>
      </c>
    </row>
    <row r="139" spans="1:6" ht="28.5" x14ac:dyDescent="0.2">
      <c r="A139" s="37" t="s">
        <v>1808</v>
      </c>
      <c r="B139" s="46" t="s">
        <v>861</v>
      </c>
      <c r="C139" s="131" t="str">
        <f ca="1">HYPERLINK("#" &amp; CELL("address", $A$138), "See also definition of 'Money remittance' (Payment instrument type).")</f>
        <v>See also definition of 'Money remittance' (Payment instrument type).</v>
      </c>
      <c r="E139" s="46" t="s">
        <v>1411</v>
      </c>
      <c r="F139" s="46" t="s">
        <v>1660</v>
      </c>
    </row>
    <row r="140" spans="1:6" ht="42.75" x14ac:dyDescent="0.2">
      <c r="A140" s="37" t="s">
        <v>1503</v>
      </c>
      <c r="B140" s="46" t="s">
        <v>1423</v>
      </c>
      <c r="C140" s="46" t="s">
        <v>1818</v>
      </c>
      <c r="E140" s="46" t="s">
        <v>1411</v>
      </c>
      <c r="F140" s="46" t="s">
        <v>1991</v>
      </c>
    </row>
    <row r="141" spans="1:6" ht="42.75" x14ac:dyDescent="0.2">
      <c r="A141" s="37" t="s">
        <v>889</v>
      </c>
      <c r="B141" s="46" t="s">
        <v>108</v>
      </c>
      <c r="C141" s="46" t="s">
        <v>1504</v>
      </c>
      <c r="E141" s="46" t="s">
        <v>1411</v>
      </c>
      <c r="F141" s="46" t="s">
        <v>1991</v>
      </c>
    </row>
    <row r="142" spans="1:6" ht="42.75" x14ac:dyDescent="0.2">
      <c r="A142" s="37" t="s">
        <v>56</v>
      </c>
      <c r="B142" s="46" t="s">
        <v>108</v>
      </c>
      <c r="C142" s="46" t="s">
        <v>1959</v>
      </c>
      <c r="E142" s="46" t="s">
        <v>1411</v>
      </c>
      <c r="F142" s="46" t="s">
        <v>1991</v>
      </c>
    </row>
    <row r="143" spans="1:6" ht="42.75" x14ac:dyDescent="0.2">
      <c r="A143" s="37" t="s">
        <v>263</v>
      </c>
      <c r="B143" s="46" t="s">
        <v>108</v>
      </c>
      <c r="C143" s="172" t="s">
        <v>487</v>
      </c>
      <c r="E143" s="46" t="s">
        <v>1411</v>
      </c>
      <c r="F143" s="46" t="s">
        <v>1991</v>
      </c>
    </row>
    <row r="144" spans="1:6" ht="42.75" x14ac:dyDescent="0.2">
      <c r="A144" s="37" t="s">
        <v>104</v>
      </c>
      <c r="B144" s="46" t="s">
        <v>108</v>
      </c>
      <c r="C144" s="172" t="s">
        <v>487</v>
      </c>
      <c r="E144" s="46" t="s">
        <v>1411</v>
      </c>
      <c r="F144" s="46" t="s">
        <v>1991</v>
      </c>
    </row>
    <row r="145" spans="1:6" ht="399" x14ac:dyDescent="0.2">
      <c r="A145" s="37" t="s">
        <v>363</v>
      </c>
      <c r="B145" s="46" t="s">
        <v>1557</v>
      </c>
      <c r="C145" s="46" t="s">
        <v>1561</v>
      </c>
      <c r="D145" s="46" t="s">
        <v>1558</v>
      </c>
      <c r="E145" s="46" t="s">
        <v>1411</v>
      </c>
      <c r="F145" s="46" t="s">
        <v>1980</v>
      </c>
    </row>
    <row r="146" spans="1:6" ht="356.25" x14ac:dyDescent="0.2">
      <c r="A146" s="37" t="s">
        <v>366</v>
      </c>
      <c r="B146" s="46" t="s">
        <v>361</v>
      </c>
      <c r="C146" s="46" t="s">
        <v>1559</v>
      </c>
      <c r="D146" s="46" t="s">
        <v>1560</v>
      </c>
      <c r="E146" s="46" t="s">
        <v>1411</v>
      </c>
      <c r="F146" s="46" t="s">
        <v>1981</v>
      </c>
    </row>
    <row r="147" spans="1:6" ht="370.5" x14ac:dyDescent="0.2">
      <c r="A147" s="37" t="s">
        <v>849</v>
      </c>
      <c r="B147" s="46" t="s">
        <v>744</v>
      </c>
      <c r="C147" s="46" t="s">
        <v>1565</v>
      </c>
      <c r="E147" s="46" t="s">
        <v>1411</v>
      </c>
      <c r="F147" s="46" t="s">
        <v>1982</v>
      </c>
    </row>
    <row r="148" spans="1:6" ht="370.5" x14ac:dyDescent="0.2">
      <c r="A148" s="37" t="s">
        <v>394</v>
      </c>
      <c r="B148" s="46" t="s">
        <v>744</v>
      </c>
      <c r="C148" s="46" t="s">
        <v>1562</v>
      </c>
      <c r="D148" s="131" t="str">
        <f ca="1">HYPERLINK("#" &amp; CELL("address", $A$146), "See also definition of '3-letter ISO 4217 currency code'.")</f>
        <v>See also definition of '3-letter ISO 4217 currency code'.</v>
      </c>
      <c r="E148" s="46" t="s">
        <v>1411</v>
      </c>
      <c r="F148" s="46" t="s">
        <v>1982</v>
      </c>
    </row>
    <row r="149" spans="1:6" ht="57" x14ac:dyDescent="0.2">
      <c r="A149" s="37" t="s">
        <v>751</v>
      </c>
      <c r="B149" s="46" t="s">
        <v>744</v>
      </c>
      <c r="C149" s="46" t="s">
        <v>1564</v>
      </c>
      <c r="E149" s="46" t="s">
        <v>1411</v>
      </c>
      <c r="F149" s="46" t="s">
        <v>1654</v>
      </c>
    </row>
    <row r="150" spans="1:6" ht="28.5" x14ac:dyDescent="0.2">
      <c r="A150" s="37" t="s">
        <v>1093</v>
      </c>
      <c r="B150" s="46" t="s">
        <v>744</v>
      </c>
      <c r="C150" s="46" t="s">
        <v>1568</v>
      </c>
      <c r="E150" s="46" t="s">
        <v>1411</v>
      </c>
      <c r="F150" s="46" t="s">
        <v>1655</v>
      </c>
    </row>
    <row r="151" spans="1:6" ht="28.5" x14ac:dyDescent="0.2">
      <c r="A151" s="37" t="s">
        <v>1563</v>
      </c>
      <c r="B151" s="46" t="s">
        <v>744</v>
      </c>
      <c r="C151" s="46" t="s">
        <v>1566</v>
      </c>
      <c r="D151" s="46" t="s">
        <v>1567</v>
      </c>
      <c r="E151" s="46" t="s">
        <v>1411</v>
      </c>
      <c r="F151" s="46" t="s">
        <v>1656</v>
      </c>
    </row>
    <row r="152" spans="1:6" ht="28.5" x14ac:dyDescent="0.2">
      <c r="A152" s="37" t="s">
        <v>791</v>
      </c>
      <c r="B152" s="46" t="s">
        <v>177</v>
      </c>
      <c r="C152" s="46" t="s">
        <v>1569</v>
      </c>
      <c r="D152" s="131" t="str">
        <f ca="1">HYPERLINK("#" &amp; CELL("address", $A$153), "See also definition of 'Cash deposit'.")</f>
        <v>See also definition of 'Cash deposit'.</v>
      </c>
      <c r="E152" s="46" t="s">
        <v>1411</v>
      </c>
      <c r="F152" s="46" t="s">
        <v>1657</v>
      </c>
    </row>
    <row r="153" spans="1:6" ht="42.75" x14ac:dyDescent="0.2">
      <c r="A153" s="37" t="s">
        <v>793</v>
      </c>
      <c r="B153" s="46" t="s">
        <v>177</v>
      </c>
      <c r="C153" s="46" t="s">
        <v>1570</v>
      </c>
      <c r="D153" s="46" t="s">
        <v>1571</v>
      </c>
      <c r="E153" s="46" t="s">
        <v>1411</v>
      </c>
      <c r="F153" s="46" t="s">
        <v>1657</v>
      </c>
    </row>
    <row r="154" spans="1:6" ht="71.25" x14ac:dyDescent="0.2">
      <c r="A154" s="37" t="s">
        <v>1579</v>
      </c>
      <c r="B154" s="46" t="s">
        <v>495</v>
      </c>
      <c r="C154" s="46" t="s">
        <v>2618</v>
      </c>
      <c r="D154" s="46" t="s">
        <v>2620</v>
      </c>
      <c r="E154" s="46" t="s">
        <v>1411</v>
      </c>
      <c r="F154" s="46" t="s">
        <v>1658</v>
      </c>
    </row>
    <row r="155" spans="1:6" ht="114" x14ac:dyDescent="0.2">
      <c r="A155" s="37" t="s">
        <v>795</v>
      </c>
      <c r="B155" s="46" t="s">
        <v>918</v>
      </c>
      <c r="C155" s="46" t="s">
        <v>1583</v>
      </c>
      <c r="D155" s="46" t="s">
        <v>1584</v>
      </c>
      <c r="E155" s="46" t="s">
        <v>1410</v>
      </c>
      <c r="F155" s="46" t="s">
        <v>1658</v>
      </c>
    </row>
    <row r="156" spans="1:6" ht="72.75" x14ac:dyDescent="0.2">
      <c r="A156" s="37" t="s">
        <v>796</v>
      </c>
      <c r="B156" s="46" t="s">
        <v>918</v>
      </c>
      <c r="C156" s="46" t="s">
        <v>1582</v>
      </c>
      <c r="D156" s="46" t="s">
        <v>1581</v>
      </c>
      <c r="E156" s="46" t="s">
        <v>1410</v>
      </c>
      <c r="F156" s="46" t="s">
        <v>1658</v>
      </c>
    </row>
    <row r="157" spans="1:6" ht="28.5" x14ac:dyDescent="0.2">
      <c r="A157" s="37" t="s">
        <v>1572</v>
      </c>
      <c r="B157" s="46" t="s">
        <v>177</v>
      </c>
      <c r="C157" s="46" t="s">
        <v>1589</v>
      </c>
      <c r="D157" s="131" t="str">
        <f ca="1">HYPERLINK("#"&amp;CELL("address",Concepts!$A$160), "See also definition of 'Loans'.")</f>
        <v>See also definition of 'Loans'.</v>
      </c>
      <c r="E157" s="46" t="s">
        <v>1411</v>
      </c>
      <c r="F157" s="46" t="s">
        <v>1658</v>
      </c>
    </row>
    <row r="158" spans="1:6" ht="57" x14ac:dyDescent="0.2">
      <c r="A158" s="37" t="s">
        <v>320</v>
      </c>
      <c r="B158" s="46" t="s">
        <v>177</v>
      </c>
      <c r="C158" s="46" t="s">
        <v>1585</v>
      </c>
      <c r="E158" s="46" t="s">
        <v>1411</v>
      </c>
      <c r="F158" s="46" t="s">
        <v>1658</v>
      </c>
    </row>
    <row r="159" spans="1:6" ht="42.75" x14ac:dyDescent="0.2">
      <c r="A159" s="37" t="s">
        <v>1573</v>
      </c>
      <c r="B159" s="46" t="s">
        <v>177</v>
      </c>
      <c r="C159" s="46" t="s">
        <v>1586</v>
      </c>
      <c r="D159" s="46" t="s">
        <v>1580</v>
      </c>
      <c r="E159" s="46" t="s">
        <v>1411</v>
      </c>
      <c r="F159" s="46" t="s">
        <v>1658</v>
      </c>
    </row>
    <row r="160" spans="1:6" ht="71.25" x14ac:dyDescent="0.2">
      <c r="A160" s="37" t="s">
        <v>1574</v>
      </c>
      <c r="B160" s="46" t="s">
        <v>177</v>
      </c>
      <c r="C160" s="46" t="s">
        <v>1588</v>
      </c>
      <c r="D160" s="46" t="s">
        <v>1587</v>
      </c>
      <c r="E160" s="46" t="s">
        <v>1411</v>
      </c>
      <c r="F160" s="46" t="s">
        <v>1658</v>
      </c>
    </row>
    <row r="161" spans="1:6" ht="28.5" x14ac:dyDescent="0.2">
      <c r="A161" s="37" t="s">
        <v>1575</v>
      </c>
      <c r="B161" s="46" t="s">
        <v>177</v>
      </c>
      <c r="C161" s="46" t="s">
        <v>1674</v>
      </c>
      <c r="E161" s="46" t="s">
        <v>1411</v>
      </c>
      <c r="F161" s="46" t="s">
        <v>1658</v>
      </c>
    </row>
    <row r="162" spans="1:6" ht="28.5" x14ac:dyDescent="0.2">
      <c r="A162" s="37" t="s">
        <v>1576</v>
      </c>
      <c r="B162" s="46" t="s">
        <v>177</v>
      </c>
      <c r="C162" s="46" t="s">
        <v>1673</v>
      </c>
      <c r="E162" s="46" t="s">
        <v>1411</v>
      </c>
      <c r="F162" s="46" t="s">
        <v>1658</v>
      </c>
    </row>
    <row r="163" spans="1:6" ht="28.5" x14ac:dyDescent="0.2">
      <c r="A163" s="37" t="s">
        <v>1577</v>
      </c>
      <c r="B163" s="46" t="s">
        <v>177</v>
      </c>
      <c r="C163" s="46" t="s">
        <v>1676</v>
      </c>
      <c r="E163" s="46" t="s">
        <v>1411</v>
      </c>
      <c r="F163" s="46" t="s">
        <v>1658</v>
      </c>
    </row>
    <row r="164" spans="1:6" ht="28.5" x14ac:dyDescent="0.2">
      <c r="A164" s="37" t="s">
        <v>1578</v>
      </c>
      <c r="B164" s="46" t="s">
        <v>177</v>
      </c>
      <c r="C164" s="46" t="s">
        <v>1675</v>
      </c>
      <c r="E164" s="46" t="s">
        <v>1411</v>
      </c>
      <c r="F164" s="46" t="s">
        <v>1658</v>
      </c>
    </row>
    <row r="165" spans="1:6" ht="71.25" x14ac:dyDescent="0.2">
      <c r="A165" s="37" t="s">
        <v>915</v>
      </c>
      <c r="B165" s="46" t="s">
        <v>2585</v>
      </c>
      <c r="C165" s="46" t="s">
        <v>1593</v>
      </c>
      <c r="E165" s="46" t="s">
        <v>1411</v>
      </c>
      <c r="F165" s="46" t="s">
        <v>1992</v>
      </c>
    </row>
    <row r="166" spans="1:6" ht="71.25" x14ac:dyDescent="0.2">
      <c r="A166" s="37" t="s">
        <v>873</v>
      </c>
      <c r="B166" s="46" t="s">
        <v>2585</v>
      </c>
      <c r="C166" s="46" t="s">
        <v>1594</v>
      </c>
      <c r="E166" s="46" t="s">
        <v>1411</v>
      </c>
      <c r="F166" s="46" t="s">
        <v>1992</v>
      </c>
    </row>
    <row r="167" spans="1:6" ht="42.75" x14ac:dyDescent="0.2">
      <c r="A167" s="37" t="s">
        <v>857</v>
      </c>
      <c r="B167" s="46" t="s">
        <v>177</v>
      </c>
      <c r="D167" s="46" t="s">
        <v>1592</v>
      </c>
      <c r="E167" s="46" t="s">
        <v>1411</v>
      </c>
      <c r="F167" s="46" t="s">
        <v>1659</v>
      </c>
    </row>
    <row r="168" spans="1:6" ht="30" x14ac:dyDescent="0.2">
      <c r="A168" s="167" t="s">
        <v>1009</v>
      </c>
      <c r="B168" s="46" t="s">
        <v>177</v>
      </c>
      <c r="C168" s="46" t="s">
        <v>1595</v>
      </c>
      <c r="E168" s="46" t="s">
        <v>1411</v>
      </c>
      <c r="F168" s="46" t="s">
        <v>1659</v>
      </c>
    </row>
    <row r="169" spans="1:6" ht="42.75" x14ac:dyDescent="0.2">
      <c r="A169" s="167" t="s">
        <v>858</v>
      </c>
      <c r="B169" s="46" t="s">
        <v>177</v>
      </c>
      <c r="D169" s="46" t="s">
        <v>1591</v>
      </c>
      <c r="E169" s="46" t="s">
        <v>1411</v>
      </c>
      <c r="F169" s="46" t="s">
        <v>1659</v>
      </c>
    </row>
    <row r="170" spans="1:6" ht="45" x14ac:dyDescent="0.2">
      <c r="A170" s="167" t="s">
        <v>1010</v>
      </c>
      <c r="B170" s="46" t="s">
        <v>177</v>
      </c>
      <c r="C170" s="46" t="s">
        <v>1596</v>
      </c>
      <c r="E170" s="46" t="s">
        <v>1411</v>
      </c>
      <c r="F170" s="46" t="s">
        <v>1659</v>
      </c>
    </row>
    <row r="171" spans="1:6" ht="42.75" x14ac:dyDescent="0.2">
      <c r="A171" s="37" t="s">
        <v>212</v>
      </c>
      <c r="B171" s="46" t="s">
        <v>215</v>
      </c>
      <c r="C171" s="46" t="s">
        <v>1598</v>
      </c>
      <c r="D171" s="131" t="str">
        <f ca="1">HYPERLINK("#" &amp; CELL("address", $A$172), "See also definition of 'P2P'.")</f>
        <v>See also definition of 'P2P'.</v>
      </c>
      <c r="E171" s="46" t="s">
        <v>1411</v>
      </c>
      <c r="F171" s="46" t="s">
        <v>1993</v>
      </c>
    </row>
    <row r="172" spans="1:6" ht="42.75" x14ac:dyDescent="0.2">
      <c r="A172" s="37" t="s">
        <v>869</v>
      </c>
      <c r="B172" s="46" t="s">
        <v>215</v>
      </c>
      <c r="C172" s="46" t="s">
        <v>1597</v>
      </c>
      <c r="D172" s="131" t="str">
        <f ca="1">HYPERLINK("#" &amp; CELL("address", $A$171), "See also definition of 'Purchase'.")</f>
        <v>See also definition of 'Purchase'.</v>
      </c>
      <c r="E172" s="46" t="s">
        <v>1411</v>
      </c>
      <c r="F172" s="46" t="s">
        <v>1993</v>
      </c>
    </row>
    <row r="173" spans="1:6" ht="42.75" x14ac:dyDescent="0.2">
      <c r="A173" s="37" t="s">
        <v>358</v>
      </c>
      <c r="B173" s="46" t="s">
        <v>215</v>
      </c>
      <c r="C173" s="46" t="s">
        <v>1599</v>
      </c>
      <c r="E173" s="46" t="s">
        <v>1411</v>
      </c>
      <c r="F173" s="46" t="s">
        <v>1993</v>
      </c>
    </row>
    <row r="174" spans="1:6" ht="42.75" x14ac:dyDescent="0.2">
      <c r="A174" s="37" t="s">
        <v>938</v>
      </c>
      <c r="B174" s="46" t="s">
        <v>861</v>
      </c>
      <c r="C174" s="46" t="s">
        <v>1600</v>
      </c>
      <c r="D174" s="46" t="s">
        <v>2505</v>
      </c>
      <c r="E174" s="46" t="s">
        <v>1952</v>
      </c>
      <c r="F174" s="46" t="s">
        <v>1660</v>
      </c>
    </row>
    <row r="175" spans="1:6" ht="28.5" x14ac:dyDescent="0.2">
      <c r="A175" s="37" t="s">
        <v>358</v>
      </c>
      <c r="B175" s="46" t="s">
        <v>861</v>
      </c>
      <c r="C175" s="46" t="s">
        <v>1601</v>
      </c>
      <c r="E175" s="46" t="s">
        <v>1411</v>
      </c>
      <c r="F175" s="46" t="s">
        <v>1660</v>
      </c>
    </row>
    <row r="176" spans="1:6" ht="28.5" x14ac:dyDescent="0.2">
      <c r="A176" s="167" t="s">
        <v>2484</v>
      </c>
      <c r="B176" s="46" t="s">
        <v>495</v>
      </c>
      <c r="C176" s="46" t="s">
        <v>2485</v>
      </c>
      <c r="E176" s="46" t="s">
        <v>1784</v>
      </c>
      <c r="F176" s="46" t="s">
        <v>1661</v>
      </c>
    </row>
    <row r="177" spans="1:6" ht="99.75" x14ac:dyDescent="0.2">
      <c r="A177" s="37" t="s">
        <v>1351</v>
      </c>
      <c r="B177" s="46" t="s">
        <v>495</v>
      </c>
      <c r="C177" s="46" t="s">
        <v>2483</v>
      </c>
      <c r="D177" s="46" t="s">
        <v>1927</v>
      </c>
      <c r="E177" s="46" t="s">
        <v>1410</v>
      </c>
      <c r="F177" s="46" t="s">
        <v>1661</v>
      </c>
    </row>
    <row r="178" spans="1:6" ht="85.5" x14ac:dyDescent="0.2">
      <c r="A178" s="37" t="s">
        <v>876</v>
      </c>
      <c r="B178" s="46" t="s">
        <v>422</v>
      </c>
      <c r="C178" s="46" t="s">
        <v>1187</v>
      </c>
      <c r="D178" s="131" t="str">
        <f ca="1">HYPERLINK("#" &amp; CELL("address", $A$47), "See also definition of 'SCA used'.")</f>
        <v>See also definition of 'SCA used'.</v>
      </c>
      <c r="E178" s="46" t="s">
        <v>1410</v>
      </c>
      <c r="F178" s="46" t="s">
        <v>1994</v>
      </c>
    </row>
    <row r="179" spans="1:6" ht="42.75" x14ac:dyDescent="0.2">
      <c r="A179" s="37" t="s">
        <v>621</v>
      </c>
      <c r="B179" s="46" t="s">
        <v>495</v>
      </c>
      <c r="C179" s="46" t="s">
        <v>1281</v>
      </c>
      <c r="E179" s="46" t="s">
        <v>1410</v>
      </c>
    </row>
    <row r="180" spans="1:6" ht="42.75" x14ac:dyDescent="0.2">
      <c r="A180" s="37" t="s">
        <v>1604</v>
      </c>
      <c r="B180" s="46" t="s">
        <v>1423</v>
      </c>
      <c r="C180" s="131" t="str">
        <f ca="1">HYPERLINK("#" &amp; CELL("address", $A$179), "See definition of 'Instant'.")</f>
        <v>See definition of 'Instant'.</v>
      </c>
      <c r="E180" s="46" t="s">
        <v>1411</v>
      </c>
      <c r="F180" s="46" t="s">
        <v>1994</v>
      </c>
    </row>
    <row r="181" spans="1:6" ht="42.75" x14ac:dyDescent="0.2">
      <c r="A181" s="37" t="s">
        <v>1605</v>
      </c>
      <c r="B181" s="46" t="s">
        <v>1423</v>
      </c>
      <c r="C181" s="46" t="s">
        <v>1606</v>
      </c>
      <c r="D181" s="46" t="s">
        <v>1607</v>
      </c>
      <c r="E181" s="46" t="s">
        <v>1411</v>
      </c>
      <c r="F181" s="46" t="s">
        <v>1994</v>
      </c>
    </row>
    <row r="182" spans="1:6" ht="99.75" x14ac:dyDescent="0.2">
      <c r="A182" s="167" t="s">
        <v>1608</v>
      </c>
      <c r="B182" s="46" t="s">
        <v>1437</v>
      </c>
      <c r="C182" s="46" t="s">
        <v>1612</v>
      </c>
      <c r="D182" s="131" t="str">
        <f ca="1">HYPERLINK("#" &amp; CELL("address", $A$183), "See also definition of 'Cards on which e-money can be stored directly'. The two categories are mutually exclusive.")</f>
        <v>See also definition of 'Cards on which e-money can be stored directly'. The two categories are mutually exclusive.</v>
      </c>
      <c r="E182" s="46" t="s">
        <v>1411</v>
      </c>
      <c r="F182" s="46" t="s">
        <v>1986</v>
      </c>
    </row>
    <row r="183" spans="1:6" ht="42.75" x14ac:dyDescent="0.2">
      <c r="A183" s="167" t="s">
        <v>1637</v>
      </c>
      <c r="B183" s="46" t="s">
        <v>1437</v>
      </c>
      <c r="C183" s="46" t="s">
        <v>1611</v>
      </c>
      <c r="D183" s="46" t="s">
        <v>1193</v>
      </c>
      <c r="E183" s="46" t="s">
        <v>1410</v>
      </c>
      <c r="F183" s="46" t="s">
        <v>1662</v>
      </c>
    </row>
    <row r="184" spans="1:6" ht="42.75" x14ac:dyDescent="0.2">
      <c r="A184" s="167" t="s">
        <v>1609</v>
      </c>
      <c r="B184" s="46" t="s">
        <v>1437</v>
      </c>
      <c r="C184" s="46" t="s">
        <v>1610</v>
      </c>
      <c r="D184" s="131" t="str">
        <f ca="1">HYPERLINK("#" &amp; CELL("address", $A$183), "See also definition of 'Cards on which e-money can be stored directly'.")</f>
        <v>See also definition of 'Cards on which e-money can be stored directly'.</v>
      </c>
      <c r="E184" s="46" t="s">
        <v>1411</v>
      </c>
      <c r="F184" s="46" t="s">
        <v>1662</v>
      </c>
    </row>
    <row r="185" spans="1:6" ht="42.75" x14ac:dyDescent="0.2">
      <c r="A185" s="37" t="s">
        <v>815</v>
      </c>
      <c r="B185" s="46" t="s">
        <v>814</v>
      </c>
      <c r="C185" s="46" t="s">
        <v>1613</v>
      </c>
      <c r="D185" s="131" t="str">
        <f ca="1">HYPERLINK("#" &amp; CELL("address", $A$119), "See also definition of 'Contactless transaction'.")</f>
        <v>See also definition of 'Contactless transaction'.</v>
      </c>
      <c r="E185" s="46" t="s">
        <v>1410</v>
      </c>
      <c r="F185" s="46" t="s">
        <v>1662</v>
      </c>
    </row>
    <row r="186" spans="1:6" ht="42.75" x14ac:dyDescent="0.2">
      <c r="A186" s="37" t="s">
        <v>816</v>
      </c>
      <c r="B186" s="46" t="s">
        <v>814</v>
      </c>
      <c r="D186" s="131" t="str">
        <f ca="1">HYPERLINK("#" &amp; CELL("address", $A$185), "See also definition of 'Cards with a contactless function'.")</f>
        <v>See also definition of 'Cards with a contactless function'.</v>
      </c>
      <c r="E186" s="46" t="s">
        <v>1411</v>
      </c>
      <c r="F186" s="46" t="s">
        <v>1662</v>
      </c>
    </row>
    <row r="187" spans="1:6" ht="42.75" x14ac:dyDescent="0.2">
      <c r="A187" s="37" t="s">
        <v>1086</v>
      </c>
      <c r="B187" s="46" t="s">
        <v>744</v>
      </c>
      <c r="C187" s="46" t="s">
        <v>1614</v>
      </c>
      <c r="E187" s="46" t="s">
        <v>1411</v>
      </c>
      <c r="F187" s="46" t="s">
        <v>1662</v>
      </c>
    </row>
    <row r="188" spans="1:6" ht="28.5" x14ac:dyDescent="0.2">
      <c r="A188" s="37" t="s">
        <v>813</v>
      </c>
      <c r="B188" s="46" t="s">
        <v>744</v>
      </c>
      <c r="C188" s="46" t="s">
        <v>1615</v>
      </c>
      <c r="E188" s="46" t="s">
        <v>1411</v>
      </c>
      <c r="F188" s="46" t="s">
        <v>1663</v>
      </c>
    </row>
    <row r="189" spans="1:6" ht="57" x14ac:dyDescent="0.2">
      <c r="A189" s="37" t="s">
        <v>811</v>
      </c>
      <c r="B189" s="46" t="s">
        <v>744</v>
      </c>
      <c r="C189" s="46" t="s">
        <v>1616</v>
      </c>
      <c r="E189" s="46" t="s">
        <v>1411</v>
      </c>
      <c r="F189" s="46" t="s">
        <v>1664</v>
      </c>
    </row>
    <row r="190" spans="1:6" ht="42.75" x14ac:dyDescent="0.2">
      <c r="A190" s="37" t="s">
        <v>837</v>
      </c>
      <c r="B190" s="46" t="s">
        <v>1483</v>
      </c>
      <c r="C190" s="46" t="s">
        <v>1623</v>
      </c>
      <c r="E190" s="46" t="s">
        <v>1411</v>
      </c>
      <c r="F190" s="46" t="s">
        <v>1656</v>
      </c>
    </row>
    <row r="191" spans="1:6" ht="28.5" x14ac:dyDescent="0.2">
      <c r="A191" s="37" t="s">
        <v>1617</v>
      </c>
      <c r="B191" s="46" t="s">
        <v>1483</v>
      </c>
      <c r="C191" s="46" t="s">
        <v>505</v>
      </c>
      <c r="D191" s="46" t="s">
        <v>1186</v>
      </c>
      <c r="E191" s="46" t="s">
        <v>1410</v>
      </c>
      <c r="F191" s="46" t="s">
        <v>1656</v>
      </c>
    </row>
    <row r="192" spans="1:6" ht="28.5" x14ac:dyDescent="0.2">
      <c r="A192" s="37" t="s">
        <v>1618</v>
      </c>
      <c r="B192" s="46" t="s">
        <v>1483</v>
      </c>
      <c r="C192" s="46" t="s">
        <v>503</v>
      </c>
      <c r="E192" s="46" t="s">
        <v>1410</v>
      </c>
      <c r="F192" s="46" t="s">
        <v>1656</v>
      </c>
    </row>
    <row r="193" spans="1:6" ht="28.5" x14ac:dyDescent="0.2">
      <c r="A193" s="37" t="s">
        <v>1619</v>
      </c>
      <c r="B193" s="46" t="s">
        <v>1483</v>
      </c>
      <c r="C193" s="46" t="s">
        <v>1624</v>
      </c>
      <c r="D193" s="131" t="str">
        <f ca="1">HYPERLINK("#" &amp; CELL("address", $A$119), "See also definition of 'Contactless transaction'.")</f>
        <v>See also definition of 'Contactless transaction'.</v>
      </c>
      <c r="E193" s="46" t="s">
        <v>1411</v>
      </c>
      <c r="F193" s="46" t="s">
        <v>1656</v>
      </c>
    </row>
    <row r="194" spans="1:6" ht="28.5" x14ac:dyDescent="0.2">
      <c r="A194" s="37" t="s">
        <v>1620</v>
      </c>
      <c r="B194" s="46" t="s">
        <v>1483</v>
      </c>
      <c r="C194" s="46" t="s">
        <v>1625</v>
      </c>
      <c r="E194" s="46" t="s">
        <v>1411</v>
      </c>
      <c r="F194" s="46" t="s">
        <v>1656</v>
      </c>
    </row>
    <row r="195" spans="1:6" ht="28.5" x14ac:dyDescent="0.2">
      <c r="A195" s="37" t="s">
        <v>836</v>
      </c>
      <c r="B195" s="46" t="s">
        <v>1483</v>
      </c>
      <c r="C195" s="46" t="s">
        <v>1626</v>
      </c>
      <c r="E195" s="46" t="s">
        <v>1411</v>
      </c>
      <c r="F195" s="46" t="s">
        <v>1656</v>
      </c>
    </row>
    <row r="196" spans="1:6" ht="28.5" x14ac:dyDescent="0.2">
      <c r="A196" s="37" t="s">
        <v>1621</v>
      </c>
      <c r="B196" s="46" t="s">
        <v>1483</v>
      </c>
      <c r="C196" s="46" t="s">
        <v>1627</v>
      </c>
      <c r="D196" s="131" t="str">
        <f ca="1">HYPERLINK("#" &amp; CELL("address", $A$119), "See also definition of 'Contactless transaction'.")</f>
        <v>See also definition of 'Contactless transaction'.</v>
      </c>
      <c r="E196" s="46" t="s">
        <v>1411</v>
      </c>
      <c r="F196" s="46" t="s">
        <v>1656</v>
      </c>
    </row>
    <row r="197" spans="1:6" ht="71.25" x14ac:dyDescent="0.2">
      <c r="A197" s="37" t="s">
        <v>1622</v>
      </c>
      <c r="B197" s="46" t="s">
        <v>1483</v>
      </c>
      <c r="C197" s="46" t="s">
        <v>1248</v>
      </c>
      <c r="D197" s="46" t="s">
        <v>581</v>
      </c>
      <c r="E197" s="46" t="s">
        <v>1410</v>
      </c>
      <c r="F197" s="46" t="s">
        <v>1656</v>
      </c>
    </row>
    <row r="198" spans="1:6" ht="71.25" x14ac:dyDescent="0.2">
      <c r="A198" s="37" t="s">
        <v>834</v>
      </c>
      <c r="B198" s="46" t="s">
        <v>1483</v>
      </c>
      <c r="C198" s="46" t="s">
        <v>590</v>
      </c>
      <c r="D198" s="46" t="s">
        <v>1256</v>
      </c>
      <c r="E198" s="46" t="s">
        <v>1410</v>
      </c>
      <c r="F198" s="46" t="s">
        <v>1656</v>
      </c>
    </row>
    <row r="199" spans="1:6" ht="42.75" x14ac:dyDescent="0.2">
      <c r="A199" s="37" t="s">
        <v>584</v>
      </c>
      <c r="B199" s="46" t="s">
        <v>1483</v>
      </c>
      <c r="C199" s="46" t="s">
        <v>585</v>
      </c>
      <c r="D199" s="46" t="s">
        <v>586</v>
      </c>
      <c r="E199" s="46" t="s">
        <v>1410</v>
      </c>
      <c r="F199" s="46" t="s">
        <v>1656</v>
      </c>
    </row>
    <row r="200" spans="1:6" ht="128.25" x14ac:dyDescent="0.2">
      <c r="A200" s="37" t="s">
        <v>582</v>
      </c>
      <c r="B200" s="46" t="s">
        <v>1483</v>
      </c>
      <c r="C200" s="46" t="s">
        <v>583</v>
      </c>
      <c r="D200" s="46" t="s">
        <v>1252</v>
      </c>
      <c r="E200" s="46" t="s">
        <v>1410</v>
      </c>
      <c r="F200" s="46" t="s">
        <v>1656</v>
      </c>
    </row>
    <row r="201" spans="1:6" ht="28.5" x14ac:dyDescent="0.2">
      <c r="A201" s="37" t="s">
        <v>1628</v>
      </c>
      <c r="B201" s="46" t="s">
        <v>495</v>
      </c>
      <c r="C201" s="172" t="s">
        <v>2479</v>
      </c>
      <c r="D201" s="131" t="str">
        <f ca="1">HYPERLINK("#" &amp; CELL("address", $A$174), "See also definition of 'E-money'.")</f>
        <v>See also definition of 'E-money'.</v>
      </c>
      <c r="E201" s="46" t="s">
        <v>1411</v>
      </c>
      <c r="F201" s="46" t="s">
        <v>1796</v>
      </c>
    </row>
    <row r="202" spans="1:6" ht="213.75" x14ac:dyDescent="0.2">
      <c r="A202" s="37" t="s">
        <v>1003</v>
      </c>
      <c r="B202" s="46" t="s">
        <v>210</v>
      </c>
      <c r="C202" s="46" t="s">
        <v>2457</v>
      </c>
      <c r="D202" s="46" t="s">
        <v>2575</v>
      </c>
      <c r="E202" s="46" t="s">
        <v>1410</v>
      </c>
      <c r="F202" s="46" t="s">
        <v>1665</v>
      </c>
    </row>
    <row r="203" spans="1:6" ht="57" x14ac:dyDescent="0.2">
      <c r="A203" s="37" t="s">
        <v>1004</v>
      </c>
      <c r="B203" s="46" t="s">
        <v>210</v>
      </c>
      <c r="C203" s="172" t="s">
        <v>1756</v>
      </c>
      <c r="D203" s="131" t="str">
        <f ca="1">HYPERLINK("#" &amp; CELL("address", $A$202), "See also definition of 'Payment account'.")</f>
        <v>See also definition of 'Payment account'.</v>
      </c>
      <c r="E203" s="46" t="s">
        <v>1411</v>
      </c>
      <c r="F203" s="46" t="s">
        <v>1665</v>
      </c>
    </row>
    <row r="204" spans="1:6" ht="28.5" x14ac:dyDescent="0.2">
      <c r="A204" s="37" t="s">
        <v>2532</v>
      </c>
      <c r="B204" s="46" t="s">
        <v>210</v>
      </c>
      <c r="C204" s="46" t="s">
        <v>2536</v>
      </c>
      <c r="D204" s="131" t="str">
        <f ca="1">HYPERLINK("#" &amp; CELL("address", $A$205), "See also definition of 'User' account.")</f>
        <v>See also definition of 'User' account.</v>
      </c>
      <c r="E204" s="46" t="s">
        <v>1411</v>
      </c>
      <c r="F204" s="46" t="s">
        <v>1666</v>
      </c>
    </row>
    <row r="205" spans="1:6" ht="28.5" x14ac:dyDescent="0.2">
      <c r="A205" s="37" t="s">
        <v>2533</v>
      </c>
      <c r="B205" s="46" t="s">
        <v>210</v>
      </c>
      <c r="C205" s="46" t="s">
        <v>1629</v>
      </c>
      <c r="D205" s="131" t="str">
        <f ca="1">HYPERLINK("#" &amp; CELL("address", $A$204), "See also definition of 'Merchant' account.")</f>
        <v>See also definition of 'Merchant' account.</v>
      </c>
      <c r="E205" s="46" t="s">
        <v>1411</v>
      </c>
      <c r="F205" s="46" t="s">
        <v>1666</v>
      </c>
    </row>
    <row r="206" spans="1:6" ht="28.5" x14ac:dyDescent="0.2">
      <c r="A206" s="37" t="s">
        <v>1007</v>
      </c>
      <c r="B206" s="46" t="s">
        <v>205</v>
      </c>
      <c r="E206" s="46" t="s">
        <v>1411</v>
      </c>
      <c r="F206" s="46" t="s">
        <v>1666</v>
      </c>
    </row>
    <row r="207" spans="1:6" ht="28.5" x14ac:dyDescent="0.2">
      <c r="A207" s="37" t="s">
        <v>1008</v>
      </c>
      <c r="B207" s="46" t="s">
        <v>205</v>
      </c>
      <c r="E207" s="46" t="s">
        <v>1411</v>
      </c>
      <c r="F207" s="46" t="s">
        <v>1666</v>
      </c>
    </row>
    <row r="208" spans="1:6" x14ac:dyDescent="0.2">
      <c r="A208" s="37" t="s">
        <v>1786</v>
      </c>
      <c r="B208" s="46" t="s">
        <v>495</v>
      </c>
      <c r="C208" s="46" t="s">
        <v>1787</v>
      </c>
      <c r="E208" s="46" t="s">
        <v>1784</v>
      </c>
      <c r="F208" s="46" t="s">
        <v>1471</v>
      </c>
    </row>
    <row r="209" spans="1:6" ht="228" x14ac:dyDescent="0.2">
      <c r="A209" s="37" t="s">
        <v>881</v>
      </c>
      <c r="B209" s="46" t="s">
        <v>878</v>
      </c>
      <c r="C209" s="46" t="s">
        <v>1782</v>
      </c>
      <c r="D209" s="46" t="s">
        <v>1929</v>
      </c>
      <c r="E209" s="46" t="s">
        <v>1410</v>
      </c>
      <c r="F209" s="46" t="s">
        <v>1667</v>
      </c>
    </row>
    <row r="210" spans="1:6" ht="28.5" x14ac:dyDescent="0.2">
      <c r="A210" s="37" t="s">
        <v>880</v>
      </c>
      <c r="B210" s="46" t="s">
        <v>878</v>
      </c>
      <c r="C210" s="131" t="str">
        <f ca="1">HYPERLINK("#" &amp; CELL("address", $A$102), "See definition of 'ASPSP'.")</f>
        <v>See definition of 'ASPSP'.</v>
      </c>
      <c r="E210" s="46" t="s">
        <v>1411</v>
      </c>
      <c r="F210" s="46" t="s">
        <v>1668</v>
      </c>
    </row>
    <row r="211" spans="1:6" ht="28.5" x14ac:dyDescent="0.2">
      <c r="A211" s="37" t="s">
        <v>746</v>
      </c>
      <c r="B211" s="46" t="s">
        <v>654</v>
      </c>
      <c r="C211" s="46" t="s">
        <v>1630</v>
      </c>
      <c r="E211" s="46" t="s">
        <v>1411</v>
      </c>
      <c r="F211" s="46" t="s">
        <v>1669</v>
      </c>
    </row>
    <row r="212" spans="1:6" ht="28.5" x14ac:dyDescent="0.2">
      <c r="A212" s="37" t="s">
        <v>747</v>
      </c>
      <c r="B212" s="46" t="s">
        <v>654</v>
      </c>
      <c r="C212" s="46" t="s">
        <v>1631</v>
      </c>
      <c r="E212" s="46" t="s">
        <v>1411</v>
      </c>
      <c r="F212" s="46" t="s">
        <v>1669</v>
      </c>
    </row>
    <row r="213" spans="1:6" ht="28.5" x14ac:dyDescent="0.2">
      <c r="A213" s="37" t="s">
        <v>359</v>
      </c>
      <c r="B213" s="46" t="s">
        <v>654</v>
      </c>
      <c r="C213" s="46" t="s">
        <v>1323</v>
      </c>
      <c r="E213" s="46" t="s">
        <v>1411</v>
      </c>
      <c r="F213" s="46" t="s">
        <v>1669</v>
      </c>
    </row>
    <row r="214" spans="1:6" ht="28.5" x14ac:dyDescent="0.2">
      <c r="A214" s="167" t="s">
        <v>767</v>
      </c>
      <c r="B214" s="46" t="s">
        <v>1423</v>
      </c>
      <c r="C214" s="131" t="str">
        <f ca="1">HYPERLINK("#" &amp; CELL("address", $A$74), "See definition of 'Credit transfer' (payment instrument type).")</f>
        <v>See definition of 'Credit transfer' (payment instrument type).</v>
      </c>
      <c r="D214" s="46" t="s">
        <v>2408</v>
      </c>
      <c r="E214" s="46" t="s">
        <v>1411</v>
      </c>
      <c r="F214" s="46" t="s">
        <v>1669</v>
      </c>
    </row>
    <row r="215" spans="1:6" ht="28.5" x14ac:dyDescent="0.2">
      <c r="A215" s="167" t="s">
        <v>759</v>
      </c>
      <c r="B215" s="46" t="s">
        <v>1423</v>
      </c>
      <c r="C215" s="131" t="str">
        <f ca="1">HYPERLINK("#" &amp; CELL("address", $A$75), "See definition of 'direct debit' (payment instrument type)")</f>
        <v>See definition of 'direct debit' (payment instrument type)</v>
      </c>
      <c r="D215" s="46" t="s">
        <v>2409</v>
      </c>
      <c r="E215" s="46" t="s">
        <v>1411</v>
      </c>
      <c r="F215" s="46" t="s">
        <v>1669</v>
      </c>
    </row>
    <row r="216" spans="1:6" ht="45" x14ac:dyDescent="0.2">
      <c r="A216" s="167" t="s">
        <v>520</v>
      </c>
      <c r="B216" s="46" t="s">
        <v>1423</v>
      </c>
      <c r="C216" s="46" t="s">
        <v>1634</v>
      </c>
      <c r="D216" s="46" t="s">
        <v>2411</v>
      </c>
      <c r="E216" s="46" t="s">
        <v>1410</v>
      </c>
      <c r="F216" s="46" t="s">
        <v>1669</v>
      </c>
    </row>
    <row r="217" spans="1:6" ht="42.75" x14ac:dyDescent="0.2">
      <c r="A217" s="167" t="s">
        <v>1632</v>
      </c>
      <c r="B217" s="46" t="s">
        <v>1423</v>
      </c>
      <c r="C217" s="46" t="s">
        <v>1634</v>
      </c>
      <c r="D217" s="46" t="s">
        <v>2412</v>
      </c>
      <c r="E217" s="46" t="s">
        <v>1410</v>
      </c>
      <c r="F217" s="46" t="s">
        <v>1669</v>
      </c>
    </row>
    <row r="218" spans="1:6" ht="28.5" x14ac:dyDescent="0.2">
      <c r="A218" s="167" t="s">
        <v>919</v>
      </c>
      <c r="B218" s="46" t="s">
        <v>1423</v>
      </c>
      <c r="C218" s="46" t="s">
        <v>1635</v>
      </c>
      <c r="D218" s="46" t="s">
        <v>2410</v>
      </c>
      <c r="E218" s="46" t="s">
        <v>1410</v>
      </c>
      <c r="F218" s="46" t="s">
        <v>1669</v>
      </c>
    </row>
    <row r="219" spans="1:6" ht="42.75" x14ac:dyDescent="0.2">
      <c r="A219" s="167" t="s">
        <v>920</v>
      </c>
      <c r="B219" s="46" t="s">
        <v>1423</v>
      </c>
      <c r="C219" s="46" t="s">
        <v>542</v>
      </c>
      <c r="D219" s="46" t="s">
        <v>2413</v>
      </c>
      <c r="E219" s="46" t="s">
        <v>1410</v>
      </c>
      <c r="F219" s="46" t="s">
        <v>1669</v>
      </c>
    </row>
    <row r="220" spans="1:6" ht="28.5" x14ac:dyDescent="0.2">
      <c r="A220" s="37" t="s">
        <v>745</v>
      </c>
      <c r="B220" s="46" t="s">
        <v>744</v>
      </c>
      <c r="C220" s="46" t="s">
        <v>1636</v>
      </c>
      <c r="E220" s="46" t="s">
        <v>1411</v>
      </c>
      <c r="F220" s="46" t="s">
        <v>1669</v>
      </c>
    </row>
    <row r="221" spans="1:6" ht="28.5" x14ac:dyDescent="0.2">
      <c r="A221" s="37" t="s">
        <v>494</v>
      </c>
      <c r="B221" s="46" t="s">
        <v>495</v>
      </c>
      <c r="C221" s="46" t="s">
        <v>2356</v>
      </c>
      <c r="D221" s="46" t="s">
        <v>2368</v>
      </c>
      <c r="E221" s="46" t="s">
        <v>1410</v>
      </c>
    </row>
    <row r="222" spans="1:6" x14ac:dyDescent="0.2">
      <c r="A222" s="37" t="s">
        <v>497</v>
      </c>
      <c r="B222" s="46" t="s">
        <v>495</v>
      </c>
      <c r="C222" s="46" t="s">
        <v>2357</v>
      </c>
      <c r="E222" s="46" t="s">
        <v>1410</v>
      </c>
    </row>
    <row r="223" spans="1:6" ht="28.5" x14ac:dyDescent="0.2">
      <c r="A223" s="37" t="s">
        <v>1784</v>
      </c>
      <c r="B223" s="46" t="s">
        <v>495</v>
      </c>
      <c r="C223" s="46" t="s">
        <v>2365</v>
      </c>
      <c r="D223" s="131" t="s">
        <v>2363</v>
      </c>
      <c r="E223" s="46" t="s">
        <v>2362</v>
      </c>
    </row>
    <row r="224" spans="1:6" ht="28.5" x14ac:dyDescent="0.2">
      <c r="A224" s="37" t="s">
        <v>2358</v>
      </c>
      <c r="B224" s="46" t="s">
        <v>495</v>
      </c>
      <c r="C224" s="46" t="s">
        <v>2361</v>
      </c>
      <c r="D224" s="131" t="s">
        <v>2364</v>
      </c>
      <c r="E224" s="46" t="s">
        <v>2362</v>
      </c>
    </row>
    <row r="225" spans="1:5" ht="128.25" x14ac:dyDescent="0.2">
      <c r="A225" s="37" t="s">
        <v>862</v>
      </c>
      <c r="B225" s="46" t="s">
        <v>495</v>
      </c>
      <c r="D225" s="46" t="s">
        <v>2414</v>
      </c>
      <c r="E225" s="46" t="s">
        <v>1410</v>
      </c>
    </row>
  </sheetData>
  <autoFilter ref="A2:L225"/>
  <hyperlinks>
    <hyperlink ref="D223" r:id="rId1"/>
    <hyperlink ref="D224" r:id="rId2"/>
  </hyperlinks>
  <pageMargins left="0.7" right="0.7" top="0.75" bottom="0.75" header="0.3" footer="0.3"/>
  <pageSetup paperSize="9"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tabColor theme="1"/>
  </sheetPr>
  <dimension ref="A1:J317"/>
  <sheetViews>
    <sheetView workbookViewId="0"/>
  </sheetViews>
  <sheetFormatPr defaultRowHeight="14.25" x14ac:dyDescent="0.2"/>
  <cols>
    <col min="1" max="1" width="40.125" style="22" customWidth="1"/>
    <col min="2" max="2" width="26.75" style="22" customWidth="1"/>
    <col min="3" max="3" width="28.375" style="22" customWidth="1"/>
    <col min="4" max="4" width="79.875" style="22" customWidth="1"/>
    <col min="5" max="6" width="72.875" style="22" customWidth="1"/>
    <col min="7" max="7" width="12" style="22" customWidth="1"/>
    <col min="8" max="8" width="12.75" style="22" customWidth="1"/>
    <col min="9" max="9" width="21.75" style="22" customWidth="1"/>
    <col min="10" max="10" width="7.75" style="22" customWidth="1"/>
    <col min="11" max="16384" width="9" style="22"/>
  </cols>
  <sheetData>
    <row r="1" spans="1:10" x14ac:dyDescent="0.2">
      <c r="A1" s="46"/>
      <c r="B1" s="143"/>
    </row>
    <row r="2" spans="1:10" ht="15" x14ac:dyDescent="0.2">
      <c r="A2" s="40" t="s">
        <v>992</v>
      </c>
      <c r="B2" s="40" t="s">
        <v>993</v>
      </c>
      <c r="C2" s="40" t="s">
        <v>1169</v>
      </c>
      <c r="D2" s="40" t="s">
        <v>1170</v>
      </c>
      <c r="E2" s="40" t="s">
        <v>995</v>
      </c>
      <c r="F2" s="40" t="s">
        <v>1417</v>
      </c>
      <c r="G2" s="40" t="s">
        <v>1171</v>
      </c>
      <c r="H2" s="40" t="s">
        <v>1172</v>
      </c>
      <c r="I2" s="41"/>
      <c r="J2" s="41"/>
    </row>
    <row r="3" spans="1:10" hidden="1" x14ac:dyDescent="0.2">
      <c r="A3" s="22" t="s">
        <v>485</v>
      </c>
      <c r="B3" s="22" t="s">
        <v>486</v>
      </c>
      <c r="C3" s="22" t="s">
        <v>487</v>
      </c>
      <c r="D3" s="22" t="s">
        <v>487</v>
      </c>
      <c r="E3" s="22" t="s">
        <v>487</v>
      </c>
      <c r="G3" s="22" t="s">
        <v>488</v>
      </c>
    </row>
    <row r="4" spans="1:10" hidden="1" x14ac:dyDescent="0.2">
      <c r="A4" s="22" t="s">
        <v>489</v>
      </c>
      <c r="B4" s="22" t="s">
        <v>490</v>
      </c>
      <c r="C4" s="22" t="s">
        <v>491</v>
      </c>
      <c r="D4" s="22" t="s">
        <v>492</v>
      </c>
      <c r="E4" s="22" t="s">
        <v>487</v>
      </c>
      <c r="G4" s="22" t="s">
        <v>493</v>
      </c>
    </row>
    <row r="5" spans="1:10" ht="142.5" hidden="1" x14ac:dyDescent="0.2">
      <c r="A5" s="22" t="s">
        <v>881</v>
      </c>
      <c r="B5" s="22" t="s">
        <v>487</v>
      </c>
      <c r="C5" s="22" t="s">
        <v>491</v>
      </c>
      <c r="D5" s="22" t="s">
        <v>1173</v>
      </c>
      <c r="E5" s="22" t="s">
        <v>1174</v>
      </c>
      <c r="G5" s="22" t="s">
        <v>507</v>
      </c>
    </row>
    <row r="6" spans="1:10" ht="28.5" hidden="1" x14ac:dyDescent="0.2">
      <c r="A6" s="22" t="s">
        <v>1176</v>
      </c>
      <c r="B6" s="22" t="s">
        <v>487</v>
      </c>
      <c r="C6" s="22" t="s">
        <v>491</v>
      </c>
      <c r="D6" s="22" t="s">
        <v>1177</v>
      </c>
      <c r="E6" s="22" t="s">
        <v>487</v>
      </c>
      <c r="G6" s="22" t="s">
        <v>1175</v>
      </c>
    </row>
    <row r="7" spans="1:10" ht="114" hidden="1" x14ac:dyDescent="0.2">
      <c r="A7" s="22" t="s">
        <v>880</v>
      </c>
      <c r="B7" s="22" t="s">
        <v>495</v>
      </c>
      <c r="C7" s="22" t="s">
        <v>491</v>
      </c>
      <c r="D7" s="22" t="s">
        <v>1178</v>
      </c>
      <c r="E7" s="22" t="s">
        <v>1179</v>
      </c>
      <c r="G7" s="22" t="s">
        <v>1175</v>
      </c>
    </row>
    <row r="8" spans="1:10" hidden="1" x14ac:dyDescent="0.2">
      <c r="A8" s="22" t="s">
        <v>494</v>
      </c>
      <c r="B8" s="22" t="s">
        <v>495</v>
      </c>
      <c r="C8" s="22" t="s">
        <v>491</v>
      </c>
      <c r="D8" s="22" t="s">
        <v>496</v>
      </c>
      <c r="E8" s="22" t="s">
        <v>487</v>
      </c>
      <c r="G8" s="22" t="s">
        <v>1175</v>
      </c>
    </row>
    <row r="9" spans="1:10" ht="28.5" hidden="1" x14ac:dyDescent="0.2">
      <c r="A9" s="22" t="s">
        <v>497</v>
      </c>
      <c r="B9" s="22" t="s">
        <v>495</v>
      </c>
      <c r="C9" s="22" t="s">
        <v>491</v>
      </c>
      <c r="D9" s="22" t="s">
        <v>498</v>
      </c>
      <c r="E9" s="22" t="s">
        <v>487</v>
      </c>
      <c r="G9" s="22" t="s">
        <v>487</v>
      </c>
    </row>
    <row r="10" spans="1:10" ht="42.75" hidden="1" x14ac:dyDescent="0.2">
      <c r="A10" s="22" t="s">
        <v>156</v>
      </c>
      <c r="B10" s="22" t="s">
        <v>487</v>
      </c>
      <c r="C10" s="22" t="s">
        <v>491</v>
      </c>
      <c r="D10" s="22" t="s">
        <v>1180</v>
      </c>
      <c r="E10" s="22" t="s">
        <v>487</v>
      </c>
      <c r="G10" s="22" t="s">
        <v>487</v>
      </c>
    </row>
    <row r="11" spans="1:10" ht="42.75" hidden="1" x14ac:dyDescent="0.2">
      <c r="A11" s="22" t="s">
        <v>1182</v>
      </c>
      <c r="B11" s="22" t="s">
        <v>487</v>
      </c>
      <c r="C11" s="22" t="s">
        <v>491</v>
      </c>
      <c r="D11" s="22" t="s">
        <v>1183</v>
      </c>
      <c r="E11" s="22" t="s">
        <v>487</v>
      </c>
      <c r="G11" s="22" t="s">
        <v>1181</v>
      </c>
    </row>
    <row r="12" spans="1:10" ht="28.5" hidden="1" x14ac:dyDescent="0.2">
      <c r="A12" s="22" t="s">
        <v>463</v>
      </c>
      <c r="B12" s="22" t="s">
        <v>462</v>
      </c>
      <c r="C12" s="22" t="s">
        <v>487</v>
      </c>
      <c r="D12" s="22" t="s">
        <v>487</v>
      </c>
      <c r="E12" s="22" t="s">
        <v>1184</v>
      </c>
      <c r="G12" s="22" t="s">
        <v>1181</v>
      </c>
    </row>
    <row r="13" spans="1:10" ht="28.5" hidden="1" x14ac:dyDescent="0.2">
      <c r="A13" s="22" t="s">
        <v>463</v>
      </c>
      <c r="B13" s="22" t="s">
        <v>462</v>
      </c>
      <c r="C13" s="22" t="s">
        <v>487</v>
      </c>
      <c r="D13" s="22" t="s">
        <v>487</v>
      </c>
      <c r="E13" s="22" t="s">
        <v>1185</v>
      </c>
      <c r="G13" s="22" t="s">
        <v>493</v>
      </c>
    </row>
    <row r="14" spans="1:10" ht="85.5" hidden="1" x14ac:dyDescent="0.2">
      <c r="A14" s="22" t="s">
        <v>499</v>
      </c>
      <c r="B14" s="22" t="s">
        <v>462</v>
      </c>
      <c r="C14" s="22" t="s">
        <v>491</v>
      </c>
      <c r="D14" s="22" t="s">
        <v>500</v>
      </c>
      <c r="E14" s="22" t="s">
        <v>501</v>
      </c>
      <c r="G14" s="22" t="s">
        <v>507</v>
      </c>
    </row>
    <row r="15" spans="1:10" ht="28.5" hidden="1" x14ac:dyDescent="0.2">
      <c r="A15" s="22" t="s">
        <v>502</v>
      </c>
      <c r="B15" s="22" t="s">
        <v>486</v>
      </c>
      <c r="C15" s="22" t="s">
        <v>491</v>
      </c>
      <c r="D15" s="22" t="s">
        <v>503</v>
      </c>
      <c r="E15" s="22" t="s">
        <v>487</v>
      </c>
      <c r="G15" s="22" t="s">
        <v>488</v>
      </c>
    </row>
    <row r="16" spans="1:10" ht="28.5" hidden="1" x14ac:dyDescent="0.2">
      <c r="A16" s="22" t="s">
        <v>504</v>
      </c>
      <c r="B16" s="22" t="s">
        <v>486</v>
      </c>
      <c r="C16" s="22" t="s">
        <v>491</v>
      </c>
      <c r="D16" s="22" t="s">
        <v>505</v>
      </c>
      <c r="E16" s="22" t="s">
        <v>1186</v>
      </c>
      <c r="G16" s="22" t="s">
        <v>488</v>
      </c>
    </row>
    <row r="17" spans="1:7" ht="71.25" hidden="1" x14ac:dyDescent="0.2">
      <c r="A17" s="22" t="s">
        <v>506</v>
      </c>
      <c r="B17" s="22" t="s">
        <v>424</v>
      </c>
      <c r="C17" s="22" t="s">
        <v>491</v>
      </c>
      <c r="D17" s="22" t="s">
        <v>1187</v>
      </c>
      <c r="E17" s="22" t="s">
        <v>512</v>
      </c>
      <c r="G17" s="22" t="s">
        <v>488</v>
      </c>
    </row>
    <row r="18" spans="1:7" ht="57" hidden="1" x14ac:dyDescent="0.2">
      <c r="A18" s="22" t="s">
        <v>508</v>
      </c>
      <c r="B18" s="22" t="s">
        <v>424</v>
      </c>
      <c r="C18" s="22" t="s">
        <v>491</v>
      </c>
      <c r="D18" s="22" t="s">
        <v>509</v>
      </c>
      <c r="E18" s="22" t="s">
        <v>512</v>
      </c>
      <c r="G18" s="22" t="s">
        <v>493</v>
      </c>
    </row>
    <row r="19" spans="1:7" ht="71.25" hidden="1" x14ac:dyDescent="0.2">
      <c r="A19" s="22" t="s">
        <v>510</v>
      </c>
      <c r="B19" s="22" t="s">
        <v>495</v>
      </c>
      <c r="C19" s="22" t="s">
        <v>491</v>
      </c>
      <c r="D19" s="22" t="s">
        <v>511</v>
      </c>
      <c r="E19" s="22" t="s">
        <v>1189</v>
      </c>
      <c r="G19" s="22" t="s">
        <v>513</v>
      </c>
    </row>
    <row r="20" spans="1:7" ht="57" hidden="1" x14ac:dyDescent="0.2">
      <c r="A20" s="22" t="s">
        <v>510</v>
      </c>
      <c r="B20" s="22" t="s">
        <v>495</v>
      </c>
      <c r="C20" s="22" t="s">
        <v>491</v>
      </c>
      <c r="D20" s="22" t="s">
        <v>511</v>
      </c>
      <c r="E20" s="22" t="s">
        <v>512</v>
      </c>
      <c r="G20" s="22" t="s">
        <v>507</v>
      </c>
    </row>
    <row r="21" spans="1:7" ht="99.75" hidden="1" x14ac:dyDescent="0.2">
      <c r="A21" s="22" t="s">
        <v>514</v>
      </c>
      <c r="B21" s="22" t="s">
        <v>469</v>
      </c>
      <c r="C21" s="22" t="s">
        <v>491</v>
      </c>
      <c r="D21" s="22" t="s">
        <v>515</v>
      </c>
      <c r="E21" s="22" t="s">
        <v>1190</v>
      </c>
      <c r="G21" s="22" t="s">
        <v>1188</v>
      </c>
    </row>
    <row r="22" spans="1:7" ht="28.5" hidden="1" x14ac:dyDescent="0.2">
      <c r="A22" s="22" t="s">
        <v>516</v>
      </c>
      <c r="B22" s="22" t="s">
        <v>469</v>
      </c>
      <c r="C22" s="22" t="s">
        <v>491</v>
      </c>
      <c r="D22" s="22" t="s">
        <v>517</v>
      </c>
      <c r="E22" s="22" t="s">
        <v>1191</v>
      </c>
      <c r="G22" s="22" t="s">
        <v>493</v>
      </c>
    </row>
    <row r="23" spans="1:7" ht="42.75" x14ac:dyDescent="0.2">
      <c r="A23" s="22" t="s">
        <v>518</v>
      </c>
      <c r="B23" s="22" t="s">
        <v>495</v>
      </c>
      <c r="C23" s="22" t="s">
        <v>491</v>
      </c>
      <c r="D23" s="22" t="s">
        <v>519</v>
      </c>
      <c r="E23" s="22" t="s">
        <v>487</v>
      </c>
      <c r="G23" s="22" t="s">
        <v>513</v>
      </c>
    </row>
    <row r="24" spans="1:7" ht="85.5" x14ac:dyDescent="0.2">
      <c r="A24" s="22" t="s">
        <v>520</v>
      </c>
      <c r="B24" s="22" t="s">
        <v>490</v>
      </c>
      <c r="C24" s="22" t="s">
        <v>491</v>
      </c>
      <c r="D24" s="22" t="s">
        <v>521</v>
      </c>
      <c r="E24" s="22" t="s">
        <v>522</v>
      </c>
      <c r="G24" s="22" t="s">
        <v>507</v>
      </c>
    </row>
    <row r="25" spans="1:7" ht="28.5" hidden="1" x14ac:dyDescent="0.2">
      <c r="A25" s="22" t="s">
        <v>523</v>
      </c>
      <c r="B25" s="22" t="s">
        <v>524</v>
      </c>
      <c r="C25" s="22" t="s">
        <v>491</v>
      </c>
      <c r="D25" s="22" t="s">
        <v>525</v>
      </c>
      <c r="E25" s="22" t="s">
        <v>1193</v>
      </c>
      <c r="G25" s="22" t="s">
        <v>1188</v>
      </c>
    </row>
    <row r="26" spans="1:7" ht="85.5" hidden="1" x14ac:dyDescent="0.2">
      <c r="A26" s="22" t="s">
        <v>527</v>
      </c>
      <c r="B26" s="22" t="s">
        <v>524</v>
      </c>
      <c r="C26" s="22" t="s">
        <v>491</v>
      </c>
      <c r="D26" s="22" t="s">
        <v>528</v>
      </c>
      <c r="E26" s="22" t="s">
        <v>1194</v>
      </c>
      <c r="G26" s="22" t="s">
        <v>493</v>
      </c>
    </row>
    <row r="27" spans="1:7" ht="114" hidden="1" x14ac:dyDescent="0.2">
      <c r="A27" s="22" t="s">
        <v>529</v>
      </c>
      <c r="B27" s="22" t="s">
        <v>524</v>
      </c>
      <c r="C27" s="22" t="s">
        <v>491</v>
      </c>
      <c r="D27" s="22" t="s">
        <v>530</v>
      </c>
      <c r="E27" s="22" t="s">
        <v>1195</v>
      </c>
      <c r="G27" s="22" t="s">
        <v>513</v>
      </c>
    </row>
    <row r="28" spans="1:7" ht="28.5" hidden="1" x14ac:dyDescent="0.2">
      <c r="A28" s="22" t="s">
        <v>531</v>
      </c>
      <c r="B28" s="22" t="s">
        <v>524</v>
      </c>
      <c r="C28" s="22" t="s">
        <v>491</v>
      </c>
      <c r="D28" s="22" t="s">
        <v>1196</v>
      </c>
      <c r="E28" s="22" t="s">
        <v>532</v>
      </c>
      <c r="G28" s="22" t="s">
        <v>507</v>
      </c>
    </row>
    <row r="29" spans="1:7" ht="42.75" hidden="1" x14ac:dyDescent="0.2">
      <c r="A29" s="22" t="s">
        <v>533</v>
      </c>
      <c r="B29" s="22" t="s">
        <v>524</v>
      </c>
      <c r="C29" s="22" t="s">
        <v>491</v>
      </c>
      <c r="D29" s="22" t="s">
        <v>534</v>
      </c>
      <c r="E29" s="22" t="s">
        <v>1197</v>
      </c>
      <c r="G29" s="22" t="s">
        <v>1188</v>
      </c>
    </row>
    <row r="30" spans="1:7" ht="71.25" hidden="1" x14ac:dyDescent="0.2">
      <c r="A30" s="22" t="s">
        <v>535</v>
      </c>
      <c r="B30" s="22" t="s">
        <v>524</v>
      </c>
      <c r="C30" s="22" t="s">
        <v>491</v>
      </c>
      <c r="D30" s="22" t="s">
        <v>536</v>
      </c>
      <c r="E30" s="22" t="s">
        <v>1198</v>
      </c>
      <c r="G30" s="22" t="s">
        <v>507</v>
      </c>
    </row>
    <row r="31" spans="1:7" ht="171" hidden="1" x14ac:dyDescent="0.2">
      <c r="A31" s="22" t="s">
        <v>537</v>
      </c>
      <c r="B31" s="22" t="s">
        <v>524</v>
      </c>
      <c r="C31" s="22" t="s">
        <v>491</v>
      </c>
      <c r="D31" s="22" t="s">
        <v>538</v>
      </c>
      <c r="E31" s="22" t="s">
        <v>1199</v>
      </c>
      <c r="G31" s="22" t="s">
        <v>1188</v>
      </c>
    </row>
    <row r="32" spans="1:7" ht="42.75" hidden="1" x14ac:dyDescent="0.2">
      <c r="A32" s="22" t="s">
        <v>539</v>
      </c>
      <c r="B32" s="22" t="s">
        <v>524</v>
      </c>
      <c r="C32" s="22" t="s">
        <v>491</v>
      </c>
      <c r="D32" s="22" t="s">
        <v>540</v>
      </c>
      <c r="E32" s="22" t="s">
        <v>1200</v>
      </c>
      <c r="G32" s="22" t="s">
        <v>507</v>
      </c>
    </row>
    <row r="33" spans="1:7" ht="199.5" hidden="1" x14ac:dyDescent="0.2">
      <c r="A33" s="22" t="s">
        <v>1201</v>
      </c>
      <c r="B33" s="22" t="s">
        <v>487</v>
      </c>
      <c r="C33" s="22" t="s">
        <v>491</v>
      </c>
      <c r="D33" s="22" t="s">
        <v>1202</v>
      </c>
      <c r="E33" s="22" t="s">
        <v>1203</v>
      </c>
      <c r="G33" s="22" t="s">
        <v>1188</v>
      </c>
    </row>
    <row r="34" spans="1:7" ht="42.75" x14ac:dyDescent="0.2">
      <c r="A34" s="22" t="s">
        <v>541</v>
      </c>
      <c r="B34" s="22" t="s">
        <v>490</v>
      </c>
      <c r="C34" s="22" t="s">
        <v>491</v>
      </c>
      <c r="D34" s="22" t="s">
        <v>542</v>
      </c>
      <c r="E34" s="22" t="s">
        <v>1204</v>
      </c>
      <c r="G34" s="22" t="s">
        <v>487</v>
      </c>
    </row>
    <row r="35" spans="1:7" ht="28.5" hidden="1" x14ac:dyDescent="0.2">
      <c r="A35" s="22" t="s">
        <v>1143</v>
      </c>
      <c r="B35" s="22" t="s">
        <v>487</v>
      </c>
      <c r="C35" s="22" t="s">
        <v>491</v>
      </c>
      <c r="D35" s="22" t="s">
        <v>1205</v>
      </c>
      <c r="E35" s="22" t="s">
        <v>487</v>
      </c>
      <c r="G35" s="22" t="s">
        <v>493</v>
      </c>
    </row>
    <row r="36" spans="1:7" ht="156.75" hidden="1" x14ac:dyDescent="0.2">
      <c r="A36" s="22" t="s">
        <v>543</v>
      </c>
      <c r="B36" s="22" t="s">
        <v>490</v>
      </c>
      <c r="C36" s="22" t="s">
        <v>491</v>
      </c>
      <c r="D36" s="22" t="s">
        <v>544</v>
      </c>
      <c r="E36" s="22" t="s">
        <v>1207</v>
      </c>
      <c r="G36" s="22" t="s">
        <v>513</v>
      </c>
    </row>
    <row r="37" spans="1:7" ht="28.5" hidden="1" x14ac:dyDescent="0.2">
      <c r="A37" s="22" t="s">
        <v>1208</v>
      </c>
      <c r="B37" s="22" t="s">
        <v>487</v>
      </c>
      <c r="C37" s="22" t="s">
        <v>487</v>
      </c>
      <c r="D37" s="22" t="s">
        <v>1209</v>
      </c>
      <c r="E37" s="22" t="s">
        <v>487</v>
      </c>
      <c r="G37" s="22" t="s">
        <v>507</v>
      </c>
    </row>
    <row r="38" spans="1:7" ht="71.25" hidden="1" x14ac:dyDescent="0.2">
      <c r="A38" s="22" t="s">
        <v>1210</v>
      </c>
      <c r="B38" s="22" t="s">
        <v>487</v>
      </c>
      <c r="C38" s="22" t="s">
        <v>491</v>
      </c>
      <c r="D38" s="22" t="s">
        <v>1211</v>
      </c>
      <c r="E38" s="22" t="s">
        <v>1212</v>
      </c>
      <c r="G38" s="22" t="s">
        <v>1188</v>
      </c>
    </row>
    <row r="39" spans="1:7" ht="57" hidden="1" x14ac:dyDescent="0.2">
      <c r="A39" s="22" t="s">
        <v>545</v>
      </c>
      <c r="B39" s="22" t="s">
        <v>546</v>
      </c>
      <c r="C39" s="22" t="s">
        <v>487</v>
      </c>
      <c r="D39" s="22" t="s">
        <v>487</v>
      </c>
      <c r="E39" s="22" t="s">
        <v>1214</v>
      </c>
      <c r="G39" s="22" t="s">
        <v>1192</v>
      </c>
    </row>
    <row r="40" spans="1:7" ht="28.5" hidden="1" x14ac:dyDescent="0.2">
      <c r="A40" s="22" t="s">
        <v>547</v>
      </c>
      <c r="B40" s="22" t="s">
        <v>546</v>
      </c>
      <c r="C40" s="22" t="s">
        <v>491</v>
      </c>
      <c r="D40" s="22" t="s">
        <v>1215</v>
      </c>
      <c r="E40" s="22" t="s">
        <v>1216</v>
      </c>
      <c r="G40" s="22" t="s">
        <v>526</v>
      </c>
    </row>
    <row r="41" spans="1:7" ht="28.5" hidden="1" x14ac:dyDescent="0.2">
      <c r="A41" s="22" t="s">
        <v>547</v>
      </c>
      <c r="B41" s="22" t="s">
        <v>546</v>
      </c>
      <c r="C41" s="22" t="s">
        <v>491</v>
      </c>
      <c r="D41" s="22" t="s">
        <v>548</v>
      </c>
      <c r="E41" s="22" t="s">
        <v>1217</v>
      </c>
      <c r="G41" s="22" t="s">
        <v>526</v>
      </c>
    </row>
    <row r="42" spans="1:7" ht="28.5" hidden="1" x14ac:dyDescent="0.2">
      <c r="A42" s="22" t="s">
        <v>481</v>
      </c>
      <c r="B42" s="22" t="s">
        <v>424</v>
      </c>
      <c r="C42" s="22" t="s">
        <v>491</v>
      </c>
      <c r="D42" s="22" t="s">
        <v>1218</v>
      </c>
      <c r="E42" s="22" t="s">
        <v>550</v>
      </c>
      <c r="G42" s="22" t="s">
        <v>526</v>
      </c>
    </row>
    <row r="43" spans="1:7" ht="28.5" hidden="1" x14ac:dyDescent="0.2">
      <c r="A43" s="22" t="s">
        <v>481</v>
      </c>
      <c r="B43" s="22" t="s">
        <v>424</v>
      </c>
      <c r="C43" s="22" t="s">
        <v>491</v>
      </c>
      <c r="D43" s="22" t="s">
        <v>549</v>
      </c>
      <c r="E43" s="22" t="s">
        <v>550</v>
      </c>
      <c r="G43" s="22" t="s">
        <v>526</v>
      </c>
    </row>
    <row r="44" spans="1:7" ht="57" hidden="1" x14ac:dyDescent="0.2">
      <c r="A44" s="22" t="s">
        <v>1219</v>
      </c>
      <c r="B44" s="22" t="s">
        <v>490</v>
      </c>
      <c r="C44" s="22" t="s">
        <v>491</v>
      </c>
      <c r="D44" s="22" t="s">
        <v>551</v>
      </c>
      <c r="E44" s="22" t="s">
        <v>1220</v>
      </c>
      <c r="G44" s="22" t="s">
        <v>526</v>
      </c>
    </row>
    <row r="45" spans="1:7" ht="57" hidden="1" x14ac:dyDescent="0.2">
      <c r="A45" s="22" t="s">
        <v>552</v>
      </c>
      <c r="B45" s="22" t="s">
        <v>469</v>
      </c>
      <c r="C45" s="22" t="s">
        <v>491</v>
      </c>
      <c r="D45" s="22" t="s">
        <v>553</v>
      </c>
      <c r="E45" s="22" t="s">
        <v>1221</v>
      </c>
      <c r="G45" s="22" t="s">
        <v>526</v>
      </c>
    </row>
    <row r="46" spans="1:7" ht="42.75" hidden="1" x14ac:dyDescent="0.2">
      <c r="A46" s="22" t="s">
        <v>554</v>
      </c>
      <c r="B46" s="22" t="s">
        <v>469</v>
      </c>
      <c r="C46" s="22" t="s">
        <v>491</v>
      </c>
      <c r="D46" s="22" t="s">
        <v>555</v>
      </c>
      <c r="E46" s="22" t="s">
        <v>1222</v>
      </c>
      <c r="G46" s="22" t="s">
        <v>526</v>
      </c>
    </row>
    <row r="47" spans="1:7" ht="28.5" hidden="1" x14ac:dyDescent="0.2">
      <c r="A47" s="22" t="s">
        <v>556</v>
      </c>
      <c r="B47" s="22" t="s">
        <v>524</v>
      </c>
      <c r="C47" s="22" t="s">
        <v>491</v>
      </c>
      <c r="D47" s="22" t="s">
        <v>557</v>
      </c>
      <c r="E47" s="22" t="s">
        <v>1223</v>
      </c>
      <c r="G47" s="22" t="s">
        <v>526</v>
      </c>
    </row>
    <row r="48" spans="1:7" ht="142.5" hidden="1" x14ac:dyDescent="0.2">
      <c r="A48" s="22" t="s">
        <v>996</v>
      </c>
      <c r="B48" s="22" t="s">
        <v>487</v>
      </c>
      <c r="C48" s="22" t="s">
        <v>491</v>
      </c>
      <c r="D48" s="22" t="s">
        <v>1224</v>
      </c>
      <c r="E48" s="22" t="s">
        <v>1225</v>
      </c>
      <c r="G48" s="22" t="s">
        <v>1181</v>
      </c>
    </row>
    <row r="49" spans="1:7" ht="142.5" hidden="1" x14ac:dyDescent="0.2">
      <c r="A49" s="22" t="s">
        <v>996</v>
      </c>
      <c r="B49" s="22" t="s">
        <v>487</v>
      </c>
      <c r="C49" s="22" t="s">
        <v>491</v>
      </c>
      <c r="D49" s="22" t="s">
        <v>1226</v>
      </c>
      <c r="E49" s="22" t="s">
        <v>1227</v>
      </c>
      <c r="G49" s="22" t="s">
        <v>493</v>
      </c>
    </row>
    <row r="50" spans="1:7" ht="28.5" hidden="1" x14ac:dyDescent="0.2">
      <c r="A50" s="22" t="s">
        <v>558</v>
      </c>
      <c r="B50" s="22" t="s">
        <v>495</v>
      </c>
      <c r="C50" s="22" t="s">
        <v>491</v>
      </c>
      <c r="D50" s="22" t="s">
        <v>559</v>
      </c>
      <c r="E50" s="22" t="s">
        <v>560</v>
      </c>
      <c r="G50" s="22" t="s">
        <v>513</v>
      </c>
    </row>
    <row r="51" spans="1:7" ht="171" hidden="1" x14ac:dyDescent="0.2">
      <c r="A51" s="22" t="s">
        <v>561</v>
      </c>
      <c r="B51" s="22" t="s">
        <v>490</v>
      </c>
      <c r="C51" s="22" t="s">
        <v>491</v>
      </c>
      <c r="D51" s="22" t="s">
        <v>562</v>
      </c>
      <c r="E51" s="22" t="s">
        <v>1228</v>
      </c>
      <c r="G51" s="22" t="s">
        <v>507</v>
      </c>
    </row>
    <row r="52" spans="1:7" ht="171" hidden="1" x14ac:dyDescent="0.2">
      <c r="A52" s="22" t="s">
        <v>561</v>
      </c>
      <c r="B52" s="22" t="s">
        <v>490</v>
      </c>
      <c r="C52" s="22" t="s">
        <v>491</v>
      </c>
      <c r="D52" s="22" t="s">
        <v>562</v>
      </c>
      <c r="E52" s="22" t="s">
        <v>1229</v>
      </c>
      <c r="G52" s="22" t="s">
        <v>1188</v>
      </c>
    </row>
    <row r="53" spans="1:7" ht="99.75" hidden="1" x14ac:dyDescent="0.2">
      <c r="A53" s="22" t="s">
        <v>329</v>
      </c>
      <c r="B53" s="22" t="s">
        <v>490</v>
      </c>
      <c r="C53" s="22" t="s">
        <v>491</v>
      </c>
      <c r="D53" s="22" t="s">
        <v>563</v>
      </c>
      <c r="E53" s="22" t="s">
        <v>1230</v>
      </c>
      <c r="G53" s="22" t="s">
        <v>1206</v>
      </c>
    </row>
    <row r="54" spans="1:7" ht="156.75" hidden="1" x14ac:dyDescent="0.2">
      <c r="A54" s="22" t="s">
        <v>1231</v>
      </c>
      <c r="B54" s="22" t="s">
        <v>495</v>
      </c>
      <c r="C54" s="22" t="s">
        <v>491</v>
      </c>
      <c r="D54" s="22" t="s">
        <v>1232</v>
      </c>
      <c r="E54" s="22" t="s">
        <v>1233</v>
      </c>
      <c r="G54" s="22" t="s">
        <v>493</v>
      </c>
    </row>
    <row r="55" spans="1:7" ht="57" hidden="1" x14ac:dyDescent="0.2">
      <c r="A55" s="22" t="s">
        <v>564</v>
      </c>
      <c r="B55" s="22" t="s">
        <v>524</v>
      </c>
      <c r="C55" s="22" t="s">
        <v>491</v>
      </c>
      <c r="D55" s="22" t="s">
        <v>565</v>
      </c>
      <c r="E55" s="22" t="s">
        <v>1234</v>
      </c>
      <c r="G55" s="22" t="s">
        <v>507</v>
      </c>
    </row>
    <row r="56" spans="1:7" ht="99.75" hidden="1" x14ac:dyDescent="0.2">
      <c r="A56" s="22" t="s">
        <v>566</v>
      </c>
      <c r="B56" s="22" t="s">
        <v>490</v>
      </c>
      <c r="C56" s="22" t="s">
        <v>491</v>
      </c>
      <c r="D56" s="22" t="s">
        <v>567</v>
      </c>
      <c r="E56" s="22" t="s">
        <v>1235</v>
      </c>
      <c r="G56" s="22" t="s">
        <v>1192</v>
      </c>
    </row>
    <row r="57" spans="1:7" ht="85.5" hidden="1" x14ac:dyDescent="0.2">
      <c r="A57" s="22" t="s">
        <v>568</v>
      </c>
      <c r="B57" s="22" t="s">
        <v>524</v>
      </c>
      <c r="C57" s="22" t="s">
        <v>491</v>
      </c>
      <c r="D57" s="22" t="s">
        <v>569</v>
      </c>
      <c r="E57" s="22" t="s">
        <v>1236</v>
      </c>
      <c r="G57" s="22" t="s">
        <v>1206</v>
      </c>
    </row>
    <row r="58" spans="1:7" ht="42.75" hidden="1" x14ac:dyDescent="0.2">
      <c r="A58" s="22" t="s">
        <v>570</v>
      </c>
      <c r="B58" s="22" t="s">
        <v>462</v>
      </c>
      <c r="C58" s="22" t="s">
        <v>487</v>
      </c>
      <c r="D58" s="22" t="s">
        <v>487</v>
      </c>
      <c r="E58" s="22" t="s">
        <v>571</v>
      </c>
      <c r="G58" s="22" t="s">
        <v>1213</v>
      </c>
    </row>
    <row r="59" spans="1:7" ht="71.25" hidden="1" x14ac:dyDescent="0.2">
      <c r="A59" s="22" t="s">
        <v>572</v>
      </c>
      <c r="B59" s="22" t="s">
        <v>490</v>
      </c>
      <c r="C59" s="22" t="s">
        <v>491</v>
      </c>
      <c r="D59" s="22" t="s">
        <v>1237</v>
      </c>
      <c r="E59" s="22" t="s">
        <v>1238</v>
      </c>
      <c r="G59" s="22" t="s">
        <v>493</v>
      </c>
    </row>
    <row r="60" spans="1:7" ht="128.25" hidden="1" x14ac:dyDescent="0.2">
      <c r="A60" s="22" t="s">
        <v>572</v>
      </c>
      <c r="B60" s="22" t="s">
        <v>490</v>
      </c>
      <c r="C60" s="22" t="s">
        <v>491</v>
      </c>
      <c r="D60" s="22" t="s">
        <v>573</v>
      </c>
      <c r="E60" s="22" t="s">
        <v>1239</v>
      </c>
      <c r="G60" s="22" t="s">
        <v>513</v>
      </c>
    </row>
    <row r="61" spans="1:7" ht="42.75" hidden="1" x14ac:dyDescent="0.2">
      <c r="A61" s="22" t="s">
        <v>574</v>
      </c>
      <c r="B61" s="22" t="s">
        <v>495</v>
      </c>
      <c r="C61" s="22" t="s">
        <v>491</v>
      </c>
      <c r="D61" s="22" t="s">
        <v>575</v>
      </c>
      <c r="E61" s="22" t="s">
        <v>576</v>
      </c>
      <c r="G61" s="22" t="s">
        <v>507</v>
      </c>
    </row>
    <row r="62" spans="1:7" ht="71.25" hidden="1" x14ac:dyDescent="0.2">
      <c r="A62" s="22" t="s">
        <v>1240</v>
      </c>
      <c r="B62" s="22" t="s">
        <v>487</v>
      </c>
      <c r="C62" s="22" t="s">
        <v>491</v>
      </c>
      <c r="D62" s="22" t="s">
        <v>1241</v>
      </c>
      <c r="E62" s="22" t="s">
        <v>487</v>
      </c>
      <c r="G62" s="22" t="s">
        <v>1188</v>
      </c>
    </row>
    <row r="63" spans="1:7" ht="71.25" hidden="1" x14ac:dyDescent="0.2">
      <c r="A63" s="22" t="s">
        <v>1242</v>
      </c>
      <c r="B63" s="22" t="s">
        <v>495</v>
      </c>
      <c r="C63" s="22" t="s">
        <v>491</v>
      </c>
      <c r="D63" s="22" t="s">
        <v>1243</v>
      </c>
      <c r="E63" s="22" t="s">
        <v>1244</v>
      </c>
      <c r="G63" s="22" t="s">
        <v>493</v>
      </c>
    </row>
    <row r="64" spans="1:7" ht="128.25" hidden="1" x14ac:dyDescent="0.2">
      <c r="A64" s="22" t="s">
        <v>577</v>
      </c>
      <c r="B64" s="22" t="s">
        <v>462</v>
      </c>
      <c r="C64" s="22" t="s">
        <v>491</v>
      </c>
      <c r="D64" s="22" t="s">
        <v>578</v>
      </c>
      <c r="E64" s="22" t="s">
        <v>1245</v>
      </c>
      <c r="G64" s="22" t="s">
        <v>513</v>
      </c>
    </row>
    <row r="65" spans="1:7" ht="42.75" hidden="1" x14ac:dyDescent="0.2">
      <c r="A65" s="22" t="s">
        <v>579</v>
      </c>
      <c r="B65" s="22" t="s">
        <v>462</v>
      </c>
      <c r="C65" s="22" t="s">
        <v>491</v>
      </c>
      <c r="D65" s="22" t="s">
        <v>1246</v>
      </c>
      <c r="E65" s="22" t="s">
        <v>1247</v>
      </c>
      <c r="G65" s="22" t="s">
        <v>507</v>
      </c>
    </row>
    <row r="66" spans="1:7" ht="57" hidden="1" x14ac:dyDescent="0.2">
      <c r="A66" s="22" t="s">
        <v>580</v>
      </c>
      <c r="B66" s="22" t="s">
        <v>486</v>
      </c>
      <c r="C66" s="22" t="s">
        <v>491</v>
      </c>
      <c r="D66" s="22" t="s">
        <v>1248</v>
      </c>
      <c r="E66" s="22" t="s">
        <v>581</v>
      </c>
      <c r="G66" s="22" t="s">
        <v>1188</v>
      </c>
    </row>
    <row r="67" spans="1:7" ht="57" hidden="1" x14ac:dyDescent="0.2">
      <c r="A67" s="22" t="s">
        <v>1249</v>
      </c>
      <c r="B67" s="22" t="s">
        <v>487</v>
      </c>
      <c r="C67" s="22" t="s">
        <v>491</v>
      </c>
      <c r="D67" s="22" t="s">
        <v>1250</v>
      </c>
      <c r="E67" s="22" t="s">
        <v>1251</v>
      </c>
      <c r="G67" s="22" t="s">
        <v>493</v>
      </c>
    </row>
    <row r="68" spans="1:7" ht="114" hidden="1" x14ac:dyDescent="0.2">
      <c r="A68" s="22" t="s">
        <v>582</v>
      </c>
      <c r="B68" s="22" t="s">
        <v>486</v>
      </c>
      <c r="C68" s="22" t="s">
        <v>491</v>
      </c>
      <c r="D68" s="22" t="s">
        <v>583</v>
      </c>
      <c r="E68" s="22" t="s">
        <v>1252</v>
      </c>
      <c r="G68" s="22" t="s">
        <v>513</v>
      </c>
    </row>
    <row r="69" spans="1:7" ht="28.5" hidden="1" x14ac:dyDescent="0.2">
      <c r="A69" s="22" t="s">
        <v>584</v>
      </c>
      <c r="B69" s="22" t="s">
        <v>486</v>
      </c>
      <c r="C69" s="22" t="s">
        <v>491</v>
      </c>
      <c r="D69" s="22" t="s">
        <v>585</v>
      </c>
      <c r="E69" s="22" t="s">
        <v>586</v>
      </c>
      <c r="G69" s="22" t="s">
        <v>507</v>
      </c>
    </row>
    <row r="70" spans="1:7" ht="42.75" hidden="1" x14ac:dyDescent="0.2">
      <c r="A70" s="22" t="s">
        <v>1253</v>
      </c>
      <c r="B70" s="22" t="s">
        <v>487</v>
      </c>
      <c r="C70" s="22" t="s">
        <v>491</v>
      </c>
      <c r="D70" s="22" t="s">
        <v>1254</v>
      </c>
      <c r="E70" s="22" t="s">
        <v>1255</v>
      </c>
      <c r="G70" s="22" t="s">
        <v>1188</v>
      </c>
    </row>
    <row r="71" spans="1:7" ht="28.5" hidden="1" x14ac:dyDescent="0.2">
      <c r="A71" s="22" t="s">
        <v>587</v>
      </c>
      <c r="B71" s="22" t="s">
        <v>469</v>
      </c>
      <c r="C71" s="22" t="s">
        <v>491</v>
      </c>
      <c r="D71" s="22" t="s">
        <v>588</v>
      </c>
      <c r="E71" s="22" t="s">
        <v>487</v>
      </c>
      <c r="G71" s="22" t="s">
        <v>493</v>
      </c>
    </row>
    <row r="72" spans="1:7" ht="57" hidden="1" x14ac:dyDescent="0.2">
      <c r="A72" s="22" t="s">
        <v>589</v>
      </c>
      <c r="B72" s="22" t="s">
        <v>462</v>
      </c>
      <c r="C72" s="22" t="s">
        <v>491</v>
      </c>
      <c r="D72" s="22" t="s">
        <v>590</v>
      </c>
      <c r="E72" s="22" t="s">
        <v>1256</v>
      </c>
      <c r="G72" s="22" t="s">
        <v>507</v>
      </c>
    </row>
    <row r="73" spans="1:7" ht="114" hidden="1" x14ac:dyDescent="0.2">
      <c r="A73" s="22" t="s">
        <v>1257</v>
      </c>
      <c r="B73" s="22" t="s">
        <v>490</v>
      </c>
      <c r="C73" s="22" t="s">
        <v>491</v>
      </c>
      <c r="D73" s="22" t="s">
        <v>591</v>
      </c>
      <c r="E73" s="22" t="s">
        <v>1258</v>
      </c>
      <c r="G73" s="22" t="s">
        <v>507</v>
      </c>
    </row>
    <row r="74" spans="1:7" ht="114" hidden="1" x14ac:dyDescent="0.2">
      <c r="A74" s="22" t="s">
        <v>1259</v>
      </c>
      <c r="B74" s="22" t="s">
        <v>490</v>
      </c>
      <c r="C74" s="22" t="s">
        <v>491</v>
      </c>
      <c r="D74" s="22" t="s">
        <v>591</v>
      </c>
      <c r="E74" s="22" t="s">
        <v>1258</v>
      </c>
      <c r="G74" s="22" t="s">
        <v>1188</v>
      </c>
    </row>
    <row r="75" spans="1:7" ht="28.5" hidden="1" x14ac:dyDescent="0.2">
      <c r="A75" s="22" t="s">
        <v>1260</v>
      </c>
      <c r="B75" s="22" t="s">
        <v>487</v>
      </c>
      <c r="C75" s="22" t="s">
        <v>487</v>
      </c>
      <c r="D75" s="22" t="s">
        <v>1261</v>
      </c>
      <c r="E75" s="22" t="s">
        <v>487</v>
      </c>
      <c r="G75" s="22" t="s">
        <v>507</v>
      </c>
    </row>
    <row r="76" spans="1:7" ht="42.75" hidden="1" x14ac:dyDescent="0.2">
      <c r="A76" s="22" t="s">
        <v>592</v>
      </c>
      <c r="B76" s="22" t="s">
        <v>495</v>
      </c>
      <c r="C76" s="22" t="s">
        <v>491</v>
      </c>
      <c r="D76" s="22" t="s">
        <v>593</v>
      </c>
      <c r="E76" s="22" t="s">
        <v>487</v>
      </c>
      <c r="G76" s="22" t="s">
        <v>1188</v>
      </c>
    </row>
    <row r="77" spans="1:7" ht="28.5" hidden="1" x14ac:dyDescent="0.2">
      <c r="A77" s="22" t="s">
        <v>1262</v>
      </c>
      <c r="B77" s="22" t="s">
        <v>487</v>
      </c>
      <c r="C77" s="22" t="s">
        <v>491</v>
      </c>
      <c r="D77" s="22" t="s">
        <v>1263</v>
      </c>
      <c r="E77" s="22" t="s">
        <v>1264</v>
      </c>
      <c r="G77" s="22" t="s">
        <v>526</v>
      </c>
    </row>
    <row r="78" spans="1:7" ht="57" hidden="1" x14ac:dyDescent="0.2">
      <c r="A78" s="22" t="s">
        <v>594</v>
      </c>
      <c r="B78" s="22" t="s">
        <v>595</v>
      </c>
      <c r="C78" s="22" t="s">
        <v>596</v>
      </c>
      <c r="D78" s="22" t="s">
        <v>1265</v>
      </c>
      <c r="E78" s="22" t="s">
        <v>597</v>
      </c>
      <c r="G78" s="22" t="s">
        <v>493</v>
      </c>
    </row>
    <row r="79" spans="1:7" ht="42.75" hidden="1" x14ac:dyDescent="0.2">
      <c r="A79" s="22" t="s">
        <v>598</v>
      </c>
      <c r="B79" s="22" t="s">
        <v>595</v>
      </c>
      <c r="C79" s="22" t="s">
        <v>596</v>
      </c>
      <c r="D79" s="22" t="s">
        <v>1266</v>
      </c>
      <c r="E79" s="22" t="s">
        <v>599</v>
      </c>
      <c r="G79" s="22" t="s">
        <v>513</v>
      </c>
    </row>
    <row r="80" spans="1:7" ht="42.75" hidden="1" x14ac:dyDescent="0.2">
      <c r="A80" s="22" t="s">
        <v>600</v>
      </c>
      <c r="B80" s="22" t="s">
        <v>595</v>
      </c>
      <c r="C80" s="22" t="s">
        <v>596</v>
      </c>
      <c r="D80" s="22" t="s">
        <v>1267</v>
      </c>
      <c r="E80" s="22" t="s">
        <v>601</v>
      </c>
      <c r="G80" s="22" t="s">
        <v>507</v>
      </c>
    </row>
    <row r="81" spans="1:7" ht="142.5" hidden="1" x14ac:dyDescent="0.2">
      <c r="A81" s="22" t="s">
        <v>602</v>
      </c>
      <c r="B81" s="22" t="s">
        <v>595</v>
      </c>
      <c r="C81" s="22" t="s">
        <v>596</v>
      </c>
      <c r="D81" s="22" t="s">
        <v>1268</v>
      </c>
      <c r="E81" s="22" t="s">
        <v>1269</v>
      </c>
      <c r="G81" s="22" t="s">
        <v>1188</v>
      </c>
    </row>
    <row r="82" spans="1:7" ht="28.5" hidden="1" x14ac:dyDescent="0.2">
      <c r="A82" s="22" t="s">
        <v>603</v>
      </c>
      <c r="B82" s="22" t="s">
        <v>595</v>
      </c>
      <c r="C82" s="22" t="s">
        <v>596</v>
      </c>
      <c r="D82" s="22" t="s">
        <v>1270</v>
      </c>
      <c r="E82" s="22" t="s">
        <v>604</v>
      </c>
      <c r="G82" s="22" t="s">
        <v>1175</v>
      </c>
    </row>
    <row r="83" spans="1:7" ht="28.5" hidden="1" x14ac:dyDescent="0.2">
      <c r="A83" s="22" t="s">
        <v>605</v>
      </c>
      <c r="B83" s="22" t="s">
        <v>595</v>
      </c>
      <c r="C83" s="22" t="s">
        <v>596</v>
      </c>
      <c r="D83" s="22" t="s">
        <v>606</v>
      </c>
      <c r="E83" s="22" t="s">
        <v>607</v>
      </c>
      <c r="G83" s="22" t="s">
        <v>1206</v>
      </c>
    </row>
    <row r="84" spans="1:7" ht="57" hidden="1" x14ac:dyDescent="0.2">
      <c r="A84" s="22" t="s">
        <v>1271</v>
      </c>
      <c r="B84" s="22" t="s">
        <v>487</v>
      </c>
      <c r="C84" s="22" t="s">
        <v>491</v>
      </c>
      <c r="D84" s="22" t="s">
        <v>1272</v>
      </c>
      <c r="E84" s="22" t="s">
        <v>1273</v>
      </c>
      <c r="G84" s="22" t="s">
        <v>493</v>
      </c>
    </row>
    <row r="85" spans="1:7" ht="57" hidden="1" x14ac:dyDescent="0.2">
      <c r="A85" s="22" t="s">
        <v>608</v>
      </c>
      <c r="B85" s="22" t="s">
        <v>462</v>
      </c>
      <c r="C85" s="22" t="s">
        <v>491</v>
      </c>
      <c r="D85" s="22" t="s">
        <v>609</v>
      </c>
      <c r="E85" s="22" t="s">
        <v>487</v>
      </c>
      <c r="G85" s="22" t="s">
        <v>507</v>
      </c>
    </row>
    <row r="86" spans="1:7" hidden="1" x14ac:dyDescent="0.2">
      <c r="A86" s="22" t="s">
        <v>610</v>
      </c>
      <c r="B86" s="22" t="s">
        <v>462</v>
      </c>
      <c r="C86" s="22" t="s">
        <v>487</v>
      </c>
      <c r="D86" s="22" t="s">
        <v>487</v>
      </c>
      <c r="E86" s="22" t="s">
        <v>487</v>
      </c>
      <c r="G86" s="22" t="s">
        <v>493</v>
      </c>
    </row>
    <row r="87" spans="1:7" ht="85.5" hidden="1" x14ac:dyDescent="0.2">
      <c r="A87" s="22" t="s">
        <v>611</v>
      </c>
      <c r="B87" s="22" t="s">
        <v>462</v>
      </c>
      <c r="C87" s="22" t="s">
        <v>487</v>
      </c>
      <c r="D87" s="22" t="s">
        <v>487</v>
      </c>
      <c r="E87" s="22" t="s">
        <v>1274</v>
      </c>
      <c r="G87" s="22" t="s">
        <v>513</v>
      </c>
    </row>
    <row r="88" spans="1:7" ht="128.25" hidden="1" x14ac:dyDescent="0.2">
      <c r="A88" s="22" t="s">
        <v>612</v>
      </c>
      <c r="B88" s="22" t="s">
        <v>462</v>
      </c>
      <c r="C88" s="22" t="s">
        <v>491</v>
      </c>
      <c r="D88" s="22" t="s">
        <v>1275</v>
      </c>
      <c r="E88" s="22" t="s">
        <v>613</v>
      </c>
      <c r="G88" s="22" t="s">
        <v>507</v>
      </c>
    </row>
    <row r="89" spans="1:7" ht="99.75" hidden="1" x14ac:dyDescent="0.2">
      <c r="A89" s="22" t="s">
        <v>614</v>
      </c>
      <c r="B89" s="22" t="s">
        <v>462</v>
      </c>
      <c r="C89" s="22" t="s">
        <v>491</v>
      </c>
      <c r="D89" s="22" t="s">
        <v>1166</v>
      </c>
      <c r="E89" s="22" t="s">
        <v>1167</v>
      </c>
      <c r="G89" s="22" t="s">
        <v>1188</v>
      </c>
    </row>
    <row r="90" spans="1:7" ht="99.75" hidden="1" x14ac:dyDescent="0.2">
      <c r="A90" s="22" t="s">
        <v>614</v>
      </c>
      <c r="B90" s="22" t="s">
        <v>462</v>
      </c>
      <c r="C90" s="22" t="s">
        <v>491</v>
      </c>
      <c r="D90" s="22" t="s">
        <v>1168</v>
      </c>
      <c r="E90" s="22" t="s">
        <v>1167</v>
      </c>
      <c r="G90" s="22" t="s">
        <v>1192</v>
      </c>
    </row>
    <row r="91" spans="1:7" ht="42.75" hidden="1" x14ac:dyDescent="0.2">
      <c r="A91" s="22" t="s">
        <v>615</v>
      </c>
      <c r="B91" s="22" t="s">
        <v>462</v>
      </c>
      <c r="C91" s="22" t="s">
        <v>491</v>
      </c>
      <c r="D91" s="22" t="s">
        <v>616</v>
      </c>
      <c r="E91" s="22" t="s">
        <v>1276</v>
      </c>
      <c r="G91" s="22" t="s">
        <v>493</v>
      </c>
    </row>
    <row r="92" spans="1:7" ht="142.5" hidden="1" x14ac:dyDescent="0.2">
      <c r="A92" s="22" t="s">
        <v>617</v>
      </c>
      <c r="B92" s="22" t="s">
        <v>462</v>
      </c>
      <c r="C92" s="22" t="s">
        <v>618</v>
      </c>
      <c r="D92" s="22" t="s">
        <v>1277</v>
      </c>
      <c r="E92" s="22" t="s">
        <v>1278</v>
      </c>
      <c r="G92" s="22" t="s">
        <v>507</v>
      </c>
    </row>
    <row r="93" spans="1:7" ht="71.25" hidden="1" x14ac:dyDescent="0.2">
      <c r="A93" s="22" t="s">
        <v>619</v>
      </c>
      <c r="B93" s="22" t="s">
        <v>462</v>
      </c>
      <c r="C93" s="22" t="s">
        <v>491</v>
      </c>
      <c r="D93" s="22" t="s">
        <v>1279</v>
      </c>
      <c r="E93" s="22" t="s">
        <v>1280</v>
      </c>
      <c r="G93" s="22" t="s">
        <v>487</v>
      </c>
    </row>
    <row r="94" spans="1:7" ht="57" hidden="1" x14ac:dyDescent="0.2">
      <c r="A94" s="22" t="s">
        <v>619</v>
      </c>
      <c r="B94" s="22" t="s">
        <v>462</v>
      </c>
      <c r="C94" s="22" t="s">
        <v>491</v>
      </c>
      <c r="D94" s="22" t="s">
        <v>620</v>
      </c>
      <c r="E94" s="22" t="s">
        <v>1280</v>
      </c>
      <c r="G94" s="22" t="s">
        <v>526</v>
      </c>
    </row>
    <row r="95" spans="1:7" ht="28.5" hidden="1" x14ac:dyDescent="0.2">
      <c r="A95" s="22" t="s">
        <v>621</v>
      </c>
      <c r="B95" s="22" t="s">
        <v>490</v>
      </c>
      <c r="C95" s="22" t="s">
        <v>487</v>
      </c>
      <c r="D95" s="22" t="s">
        <v>487</v>
      </c>
      <c r="E95" s="22" t="s">
        <v>1281</v>
      </c>
      <c r="G95" s="22" t="s">
        <v>493</v>
      </c>
    </row>
    <row r="96" spans="1:7" ht="42.75" hidden="1" x14ac:dyDescent="0.2">
      <c r="A96" s="22" t="s">
        <v>622</v>
      </c>
      <c r="B96" s="22" t="s">
        <v>469</v>
      </c>
      <c r="C96" s="22" t="s">
        <v>491</v>
      </c>
      <c r="D96" s="22" t="s">
        <v>623</v>
      </c>
      <c r="E96" s="22" t="s">
        <v>1282</v>
      </c>
      <c r="G96" s="22" t="s">
        <v>507</v>
      </c>
    </row>
    <row r="97" spans="1:7" ht="42.75" hidden="1" x14ac:dyDescent="0.2">
      <c r="A97" s="22" t="s">
        <v>622</v>
      </c>
      <c r="B97" s="22" t="s">
        <v>469</v>
      </c>
      <c r="C97" s="22" t="s">
        <v>491</v>
      </c>
      <c r="D97" s="22" t="s">
        <v>623</v>
      </c>
      <c r="E97" s="22" t="s">
        <v>1283</v>
      </c>
      <c r="G97" s="22" t="s">
        <v>526</v>
      </c>
    </row>
    <row r="98" spans="1:7" hidden="1" x14ac:dyDescent="0.2">
      <c r="A98" s="22" t="s">
        <v>624</v>
      </c>
      <c r="B98" s="22" t="s">
        <v>495</v>
      </c>
      <c r="C98" s="22" t="s">
        <v>491</v>
      </c>
      <c r="D98" s="22" t="s">
        <v>625</v>
      </c>
      <c r="E98" s="22" t="s">
        <v>487</v>
      </c>
      <c r="G98" s="22" t="s">
        <v>493</v>
      </c>
    </row>
    <row r="99" spans="1:7" ht="28.5" hidden="1" x14ac:dyDescent="0.2">
      <c r="A99" s="22" t="s">
        <v>1284</v>
      </c>
      <c r="B99" s="22" t="s">
        <v>487</v>
      </c>
      <c r="C99" s="22" t="s">
        <v>491</v>
      </c>
      <c r="D99" s="22" t="s">
        <v>1285</v>
      </c>
      <c r="E99" s="22" t="s">
        <v>487</v>
      </c>
      <c r="G99" s="22" t="s">
        <v>507</v>
      </c>
    </row>
    <row r="100" spans="1:7" ht="28.5" hidden="1" x14ac:dyDescent="0.2">
      <c r="A100" s="22" t="s">
        <v>626</v>
      </c>
      <c r="B100" s="22" t="s">
        <v>469</v>
      </c>
      <c r="C100" s="22" t="s">
        <v>491</v>
      </c>
      <c r="D100" s="22" t="s">
        <v>627</v>
      </c>
      <c r="E100" s="22" t="s">
        <v>1191</v>
      </c>
      <c r="G100" s="22" t="s">
        <v>493</v>
      </c>
    </row>
    <row r="101" spans="1:7" ht="28.5" hidden="1" x14ac:dyDescent="0.2">
      <c r="A101" s="22" t="s">
        <v>628</v>
      </c>
      <c r="B101" s="22" t="s">
        <v>469</v>
      </c>
      <c r="C101" s="22" t="s">
        <v>491</v>
      </c>
      <c r="D101" s="22" t="s">
        <v>629</v>
      </c>
      <c r="E101" s="22" t="s">
        <v>487</v>
      </c>
      <c r="G101" s="22" t="s">
        <v>513</v>
      </c>
    </row>
    <row r="102" spans="1:7" ht="28.5" hidden="1" x14ac:dyDescent="0.2">
      <c r="A102" s="22" t="s">
        <v>430</v>
      </c>
      <c r="B102" s="22" t="s">
        <v>424</v>
      </c>
      <c r="C102" s="22" t="s">
        <v>491</v>
      </c>
      <c r="D102" s="22" t="s">
        <v>630</v>
      </c>
      <c r="E102" s="22" t="s">
        <v>1286</v>
      </c>
      <c r="G102" s="22" t="s">
        <v>507</v>
      </c>
    </row>
    <row r="103" spans="1:7" ht="228" hidden="1" x14ac:dyDescent="0.2">
      <c r="A103" s="22" t="s">
        <v>631</v>
      </c>
      <c r="B103" s="22" t="s">
        <v>469</v>
      </c>
      <c r="C103" s="22" t="s">
        <v>491</v>
      </c>
      <c r="D103" s="22" t="s">
        <v>632</v>
      </c>
      <c r="E103" s="22" t="s">
        <v>1287</v>
      </c>
      <c r="F103" s="22" t="s">
        <v>1418</v>
      </c>
      <c r="G103" s="22" t="s">
        <v>1188</v>
      </c>
    </row>
    <row r="104" spans="1:7" ht="42.75" hidden="1" x14ac:dyDescent="0.2">
      <c r="A104" s="22" t="s">
        <v>1288</v>
      </c>
      <c r="B104" s="22" t="s">
        <v>633</v>
      </c>
      <c r="C104" s="22" t="s">
        <v>491</v>
      </c>
      <c r="D104" s="22" t="s">
        <v>634</v>
      </c>
      <c r="E104" s="22" t="s">
        <v>1289</v>
      </c>
      <c r="G104" s="22" t="s">
        <v>1192</v>
      </c>
    </row>
    <row r="105" spans="1:7" ht="71.25" hidden="1" x14ac:dyDescent="0.2">
      <c r="A105" s="22" t="s">
        <v>635</v>
      </c>
      <c r="B105" s="22" t="s">
        <v>424</v>
      </c>
      <c r="C105" s="22" t="s">
        <v>491</v>
      </c>
      <c r="D105" s="22" t="s">
        <v>636</v>
      </c>
      <c r="E105" s="22" t="s">
        <v>1290</v>
      </c>
      <c r="G105" s="22" t="s">
        <v>493</v>
      </c>
    </row>
    <row r="106" spans="1:7" ht="85.5" hidden="1" x14ac:dyDescent="0.2">
      <c r="A106" s="22" t="s">
        <v>637</v>
      </c>
      <c r="B106" s="22" t="s">
        <v>462</v>
      </c>
      <c r="C106" s="22" t="s">
        <v>491</v>
      </c>
      <c r="D106" s="22" t="s">
        <v>638</v>
      </c>
      <c r="E106" s="22" t="s">
        <v>1291</v>
      </c>
      <c r="G106" s="22" t="s">
        <v>507</v>
      </c>
    </row>
    <row r="107" spans="1:7" ht="85.5" hidden="1" x14ac:dyDescent="0.2">
      <c r="A107" s="22" t="s">
        <v>637</v>
      </c>
      <c r="B107" s="22" t="s">
        <v>462</v>
      </c>
      <c r="C107" s="22" t="s">
        <v>491</v>
      </c>
      <c r="D107" s="22" t="s">
        <v>638</v>
      </c>
      <c r="E107" s="22" t="s">
        <v>1292</v>
      </c>
      <c r="G107" s="22" t="s">
        <v>1206</v>
      </c>
    </row>
    <row r="108" spans="1:7" ht="114" hidden="1" x14ac:dyDescent="0.2">
      <c r="A108" s="22" t="s">
        <v>446</v>
      </c>
      <c r="B108" s="22" t="s">
        <v>469</v>
      </c>
      <c r="C108" s="22" t="s">
        <v>491</v>
      </c>
      <c r="D108" s="22" t="s">
        <v>1293</v>
      </c>
      <c r="E108" s="22" t="s">
        <v>1294</v>
      </c>
      <c r="G108" s="22" t="s">
        <v>487</v>
      </c>
    </row>
    <row r="109" spans="1:7" ht="285" hidden="1" x14ac:dyDescent="0.2">
      <c r="A109" s="22" t="s">
        <v>639</v>
      </c>
      <c r="B109" s="22" t="s">
        <v>490</v>
      </c>
      <c r="C109" s="22" t="s">
        <v>491</v>
      </c>
      <c r="D109" s="22" t="s">
        <v>640</v>
      </c>
      <c r="E109" s="22" t="s">
        <v>1295</v>
      </c>
      <c r="G109" s="22" t="s">
        <v>493</v>
      </c>
    </row>
    <row r="110" spans="1:7" ht="28.5" hidden="1" x14ac:dyDescent="0.2">
      <c r="A110" s="22" t="s">
        <v>641</v>
      </c>
      <c r="B110" s="22" t="s">
        <v>490</v>
      </c>
      <c r="C110" s="22" t="s">
        <v>491</v>
      </c>
      <c r="D110" s="22" t="s">
        <v>642</v>
      </c>
      <c r="E110" s="22" t="s">
        <v>1296</v>
      </c>
      <c r="G110" s="22" t="s">
        <v>507</v>
      </c>
    </row>
    <row r="111" spans="1:7" ht="42.75" hidden="1" x14ac:dyDescent="0.2">
      <c r="A111" s="22" t="s">
        <v>643</v>
      </c>
      <c r="B111" s="22" t="s">
        <v>644</v>
      </c>
      <c r="C111" s="22" t="s">
        <v>487</v>
      </c>
      <c r="D111" s="22" t="s">
        <v>487</v>
      </c>
      <c r="E111" s="22" t="s">
        <v>645</v>
      </c>
      <c r="G111" s="22" t="s">
        <v>488</v>
      </c>
    </row>
    <row r="112" spans="1:7" ht="42.75" hidden="1" x14ac:dyDescent="0.2">
      <c r="A112" s="22" t="s">
        <v>646</v>
      </c>
      <c r="B112" s="22" t="s">
        <v>647</v>
      </c>
      <c r="C112" s="22" t="s">
        <v>487</v>
      </c>
      <c r="D112" s="22" t="s">
        <v>487</v>
      </c>
      <c r="E112" s="22" t="s">
        <v>648</v>
      </c>
      <c r="G112" s="22" t="s">
        <v>488</v>
      </c>
    </row>
    <row r="113" spans="1:7" ht="71.25" hidden="1" x14ac:dyDescent="0.2">
      <c r="A113" s="22" t="s">
        <v>751</v>
      </c>
      <c r="B113" s="22" t="s">
        <v>495</v>
      </c>
      <c r="C113" s="22" t="s">
        <v>487</v>
      </c>
      <c r="D113" s="22" t="s">
        <v>487</v>
      </c>
      <c r="E113" s="22" t="s">
        <v>1297</v>
      </c>
      <c r="G113" s="22" t="s">
        <v>1175</v>
      </c>
    </row>
    <row r="114" spans="1:7" ht="71.25" hidden="1" x14ac:dyDescent="0.2">
      <c r="A114" s="22" t="s">
        <v>1298</v>
      </c>
      <c r="B114" s="22" t="s">
        <v>487</v>
      </c>
      <c r="C114" s="22" t="s">
        <v>491</v>
      </c>
      <c r="D114" s="22" t="s">
        <v>1299</v>
      </c>
      <c r="E114" s="22" t="s">
        <v>1300</v>
      </c>
      <c r="G114" s="22" t="s">
        <v>488</v>
      </c>
    </row>
    <row r="115" spans="1:7" ht="57" hidden="1" x14ac:dyDescent="0.2">
      <c r="A115" s="22" t="s">
        <v>1301</v>
      </c>
      <c r="B115" s="22" t="s">
        <v>487</v>
      </c>
      <c r="C115" s="22" t="s">
        <v>491</v>
      </c>
      <c r="D115" s="22" t="s">
        <v>1302</v>
      </c>
      <c r="E115" s="22" t="s">
        <v>1303</v>
      </c>
      <c r="G115" s="22" t="s">
        <v>488</v>
      </c>
    </row>
    <row r="116" spans="1:7" ht="42.75" hidden="1" x14ac:dyDescent="0.2">
      <c r="A116" s="22" t="s">
        <v>1304</v>
      </c>
      <c r="B116" s="22" t="s">
        <v>487</v>
      </c>
      <c r="C116" s="22" t="s">
        <v>491</v>
      </c>
      <c r="D116" s="22" t="s">
        <v>1305</v>
      </c>
      <c r="E116" s="22" t="s">
        <v>487</v>
      </c>
      <c r="G116" s="22" t="s">
        <v>1181</v>
      </c>
    </row>
    <row r="117" spans="1:7" ht="42.75" hidden="1" x14ac:dyDescent="0.2">
      <c r="A117" s="22" t="s">
        <v>1306</v>
      </c>
      <c r="B117" s="22" t="s">
        <v>487</v>
      </c>
      <c r="C117" s="22" t="s">
        <v>491</v>
      </c>
      <c r="D117" s="22" t="s">
        <v>1307</v>
      </c>
      <c r="E117" s="22" t="s">
        <v>487</v>
      </c>
      <c r="G117" s="22" t="s">
        <v>507</v>
      </c>
    </row>
    <row r="118" spans="1:7" ht="171" hidden="1" x14ac:dyDescent="0.2">
      <c r="A118" s="22" t="s">
        <v>1308</v>
      </c>
      <c r="B118" s="22" t="s">
        <v>487</v>
      </c>
      <c r="C118" s="22" t="s">
        <v>491</v>
      </c>
      <c r="D118" s="22" t="s">
        <v>1309</v>
      </c>
      <c r="E118" s="22" t="s">
        <v>1310</v>
      </c>
      <c r="G118" s="22" t="s">
        <v>1188</v>
      </c>
    </row>
    <row r="119" spans="1:7" ht="228" hidden="1" x14ac:dyDescent="0.2">
      <c r="A119" s="22" t="s">
        <v>1311</v>
      </c>
      <c r="B119" s="22" t="s">
        <v>487</v>
      </c>
      <c r="C119" s="22" t="s">
        <v>491</v>
      </c>
      <c r="D119" s="22" t="s">
        <v>1312</v>
      </c>
      <c r="E119" s="22" t="s">
        <v>1313</v>
      </c>
      <c r="G119" s="22" t="s">
        <v>488</v>
      </c>
    </row>
    <row r="120" spans="1:7" ht="85.5" hidden="1" x14ac:dyDescent="0.2">
      <c r="A120" s="22" t="s">
        <v>1314</v>
      </c>
      <c r="B120" s="22" t="s">
        <v>487</v>
      </c>
      <c r="C120" s="22" t="s">
        <v>491</v>
      </c>
      <c r="D120" s="22" t="s">
        <v>1315</v>
      </c>
      <c r="E120" s="22" t="s">
        <v>1316</v>
      </c>
      <c r="G120" s="22" t="s">
        <v>493</v>
      </c>
    </row>
    <row r="121" spans="1:7" ht="71.25" hidden="1" x14ac:dyDescent="0.2">
      <c r="A121" s="22" t="s">
        <v>649</v>
      </c>
      <c r="B121" s="22" t="s">
        <v>462</v>
      </c>
      <c r="C121" s="22" t="s">
        <v>491</v>
      </c>
      <c r="D121" s="22" t="s">
        <v>650</v>
      </c>
      <c r="E121" s="22" t="s">
        <v>1317</v>
      </c>
      <c r="G121" s="22" t="s">
        <v>513</v>
      </c>
    </row>
    <row r="122" spans="1:7" ht="57" hidden="1" x14ac:dyDescent="0.2">
      <c r="A122" s="22" t="s">
        <v>1318</v>
      </c>
      <c r="B122" s="22" t="s">
        <v>487</v>
      </c>
      <c r="C122" s="22" t="s">
        <v>487</v>
      </c>
      <c r="D122" s="22" t="s">
        <v>487</v>
      </c>
      <c r="E122" s="22" t="s">
        <v>1319</v>
      </c>
      <c r="G122" s="22" t="s">
        <v>507</v>
      </c>
    </row>
    <row r="123" spans="1:7" ht="28.5" hidden="1" x14ac:dyDescent="0.2">
      <c r="A123" s="22" t="s">
        <v>651</v>
      </c>
      <c r="B123" s="22" t="s">
        <v>469</v>
      </c>
      <c r="C123" s="22" t="s">
        <v>487</v>
      </c>
      <c r="D123" s="22" t="s">
        <v>487</v>
      </c>
      <c r="E123" s="22" t="s">
        <v>1320</v>
      </c>
      <c r="G123" s="22" t="s">
        <v>1188</v>
      </c>
    </row>
    <row r="124" spans="1:7" ht="71.25" hidden="1" x14ac:dyDescent="0.2">
      <c r="A124" s="22" t="s">
        <v>652</v>
      </c>
      <c r="B124" s="22" t="s">
        <v>462</v>
      </c>
      <c r="C124" s="22" t="s">
        <v>487</v>
      </c>
      <c r="D124" s="22" t="s">
        <v>487</v>
      </c>
      <c r="E124" s="22" t="s">
        <v>1321</v>
      </c>
      <c r="G124" s="22" t="s">
        <v>1192</v>
      </c>
    </row>
    <row r="125" spans="1:7" ht="71.25" hidden="1" x14ac:dyDescent="0.2">
      <c r="A125" s="22" t="s">
        <v>652</v>
      </c>
      <c r="B125" s="22" t="s">
        <v>462</v>
      </c>
      <c r="C125" s="22" t="s">
        <v>487</v>
      </c>
      <c r="D125" s="22" t="s">
        <v>487</v>
      </c>
      <c r="E125" s="22" t="s">
        <v>1322</v>
      </c>
      <c r="G125" s="22" t="s">
        <v>1181</v>
      </c>
    </row>
    <row r="126" spans="1:7" hidden="1" x14ac:dyDescent="0.2">
      <c r="A126" s="22" t="s">
        <v>653</v>
      </c>
      <c r="B126" s="22" t="s">
        <v>654</v>
      </c>
      <c r="C126" s="22" t="s">
        <v>487</v>
      </c>
      <c r="D126" s="22" t="s">
        <v>487</v>
      </c>
      <c r="E126" s="22" t="s">
        <v>1323</v>
      </c>
      <c r="G126" s="22" t="s">
        <v>487</v>
      </c>
    </row>
    <row r="127" spans="1:7" hidden="1" x14ac:dyDescent="0.2">
      <c r="A127" s="22" t="s">
        <v>653</v>
      </c>
      <c r="B127" s="22" t="s">
        <v>654</v>
      </c>
      <c r="C127" s="22" t="s">
        <v>487</v>
      </c>
      <c r="D127" s="22" t="s">
        <v>487</v>
      </c>
      <c r="E127" s="22" t="s">
        <v>655</v>
      </c>
      <c r="G127" s="22" t="s">
        <v>1206</v>
      </c>
    </row>
    <row r="128" spans="1:7" ht="114" hidden="1" x14ac:dyDescent="0.2">
      <c r="A128" s="22" t="s">
        <v>656</v>
      </c>
      <c r="B128" s="22" t="s">
        <v>424</v>
      </c>
      <c r="C128" s="22" t="s">
        <v>487</v>
      </c>
      <c r="D128" s="22" t="s">
        <v>487</v>
      </c>
      <c r="E128" s="22" t="s">
        <v>657</v>
      </c>
      <c r="G128" s="22" t="s">
        <v>487</v>
      </c>
    </row>
    <row r="129" spans="1:7" ht="28.5" hidden="1" x14ac:dyDescent="0.2">
      <c r="A129" s="22" t="s">
        <v>658</v>
      </c>
      <c r="B129" s="22" t="s">
        <v>490</v>
      </c>
      <c r="C129" s="22" t="s">
        <v>487</v>
      </c>
      <c r="D129" s="22" t="s">
        <v>487</v>
      </c>
      <c r="E129" s="22" t="s">
        <v>1324</v>
      </c>
      <c r="G129" s="22" t="s">
        <v>487</v>
      </c>
    </row>
    <row r="130" spans="1:7" ht="28.5" hidden="1" x14ac:dyDescent="0.2">
      <c r="A130" s="22" t="s">
        <v>658</v>
      </c>
      <c r="B130" s="22" t="s">
        <v>490</v>
      </c>
      <c r="C130" s="22" t="s">
        <v>487</v>
      </c>
      <c r="D130" s="22" t="s">
        <v>487</v>
      </c>
      <c r="E130" s="22" t="s">
        <v>659</v>
      </c>
      <c r="G130" s="22" t="s">
        <v>487</v>
      </c>
    </row>
    <row r="131" spans="1:7" ht="28.5" hidden="1" x14ac:dyDescent="0.2">
      <c r="A131" s="22" t="s">
        <v>1325</v>
      </c>
      <c r="B131" s="22" t="s">
        <v>487</v>
      </c>
      <c r="C131" s="22" t="s">
        <v>491</v>
      </c>
      <c r="D131" s="22" t="s">
        <v>1326</v>
      </c>
      <c r="E131" s="22" t="s">
        <v>487</v>
      </c>
      <c r="G131" s="22" t="s">
        <v>487</v>
      </c>
    </row>
    <row r="132" spans="1:7" ht="28.5" hidden="1" x14ac:dyDescent="0.2">
      <c r="A132" s="22" t="s">
        <v>1327</v>
      </c>
      <c r="B132" s="22" t="s">
        <v>487</v>
      </c>
      <c r="C132" s="22" t="s">
        <v>491</v>
      </c>
      <c r="D132" s="22" t="s">
        <v>1328</v>
      </c>
      <c r="E132" s="22" t="s">
        <v>1329</v>
      </c>
      <c r="G132" s="22" t="s">
        <v>487</v>
      </c>
    </row>
    <row r="133" spans="1:7" ht="42.75" hidden="1" x14ac:dyDescent="0.2">
      <c r="A133" s="22" t="s">
        <v>1330</v>
      </c>
      <c r="B133" s="22" t="s">
        <v>487</v>
      </c>
      <c r="C133" s="22" t="s">
        <v>491</v>
      </c>
      <c r="D133" s="22" t="s">
        <v>1331</v>
      </c>
      <c r="E133" s="22" t="s">
        <v>487</v>
      </c>
      <c r="G133" s="22" t="s">
        <v>487</v>
      </c>
    </row>
    <row r="134" spans="1:7" ht="228" hidden="1" x14ac:dyDescent="0.2">
      <c r="A134" s="22" t="s">
        <v>660</v>
      </c>
      <c r="B134" s="22" t="s">
        <v>490</v>
      </c>
      <c r="C134" s="22" t="s">
        <v>491</v>
      </c>
      <c r="D134" s="22" t="s">
        <v>661</v>
      </c>
      <c r="E134" s="22" t="s">
        <v>1332</v>
      </c>
      <c r="G134" s="22" t="s">
        <v>1206</v>
      </c>
    </row>
    <row r="135" spans="1:7" hidden="1" x14ac:dyDescent="0.2">
      <c r="A135" s="22" t="s">
        <v>662</v>
      </c>
      <c r="B135" s="22" t="s">
        <v>647</v>
      </c>
      <c r="C135" s="22" t="s">
        <v>487</v>
      </c>
      <c r="D135" s="22" t="s">
        <v>487</v>
      </c>
      <c r="E135" s="22" t="s">
        <v>487</v>
      </c>
      <c r="G135" s="22" t="s">
        <v>493</v>
      </c>
    </row>
    <row r="136" spans="1:7" ht="114" hidden="1" x14ac:dyDescent="0.2">
      <c r="A136" s="22" t="s">
        <v>1333</v>
      </c>
      <c r="B136" s="22" t="s">
        <v>487</v>
      </c>
      <c r="C136" s="22" t="s">
        <v>491</v>
      </c>
      <c r="D136" s="22" t="s">
        <v>1334</v>
      </c>
      <c r="E136" s="22" t="s">
        <v>1335</v>
      </c>
      <c r="G136" s="22" t="s">
        <v>507</v>
      </c>
    </row>
    <row r="137" spans="1:7" ht="128.25" hidden="1" x14ac:dyDescent="0.2">
      <c r="A137" s="22" t="s">
        <v>1336</v>
      </c>
      <c r="B137" s="22" t="s">
        <v>490</v>
      </c>
      <c r="C137" s="22" t="s">
        <v>491</v>
      </c>
      <c r="D137" s="22" t="s">
        <v>663</v>
      </c>
      <c r="E137" s="22" t="s">
        <v>1337</v>
      </c>
      <c r="G137" s="22" t="s">
        <v>487</v>
      </c>
    </row>
    <row r="138" spans="1:7" ht="28.5" hidden="1" x14ac:dyDescent="0.2">
      <c r="A138" s="22" t="s">
        <v>1338</v>
      </c>
      <c r="B138" s="22" t="s">
        <v>487</v>
      </c>
      <c r="C138" s="22" t="s">
        <v>491</v>
      </c>
      <c r="D138" s="22" t="s">
        <v>1339</v>
      </c>
      <c r="E138" s="22" t="s">
        <v>1340</v>
      </c>
      <c r="G138" s="22" t="s">
        <v>493</v>
      </c>
    </row>
    <row r="139" spans="1:7" ht="99.75" hidden="1" x14ac:dyDescent="0.2">
      <c r="A139" s="22" t="s">
        <v>1341</v>
      </c>
      <c r="B139" s="22" t="s">
        <v>487</v>
      </c>
      <c r="C139" s="22" t="s">
        <v>491</v>
      </c>
      <c r="D139" s="22" t="s">
        <v>1342</v>
      </c>
      <c r="E139" s="22" t="s">
        <v>1343</v>
      </c>
      <c r="G139" s="22" t="s">
        <v>507</v>
      </c>
    </row>
    <row r="140" spans="1:7" ht="85.5" hidden="1" x14ac:dyDescent="0.2">
      <c r="A140" s="22" t="s">
        <v>1344</v>
      </c>
      <c r="B140" s="22" t="s">
        <v>487</v>
      </c>
      <c r="C140" s="22" t="s">
        <v>491</v>
      </c>
      <c r="D140" s="22" t="s">
        <v>1345</v>
      </c>
      <c r="E140" s="22" t="s">
        <v>1346</v>
      </c>
      <c r="G140" s="22" t="s">
        <v>493</v>
      </c>
    </row>
    <row r="141" spans="1:7" ht="85.5" hidden="1" x14ac:dyDescent="0.2">
      <c r="A141" s="22" t="s">
        <v>464</v>
      </c>
      <c r="B141" s="22" t="s">
        <v>462</v>
      </c>
      <c r="C141" s="22" t="s">
        <v>491</v>
      </c>
      <c r="D141" s="22" t="s">
        <v>664</v>
      </c>
      <c r="E141" s="22" t="s">
        <v>487</v>
      </c>
      <c r="G141" s="22" t="s">
        <v>513</v>
      </c>
    </row>
    <row r="142" spans="1:7" ht="128.25" hidden="1" x14ac:dyDescent="0.2">
      <c r="A142" s="22" t="s">
        <v>1003</v>
      </c>
      <c r="B142" s="22" t="s">
        <v>487</v>
      </c>
      <c r="C142" s="22" t="s">
        <v>491</v>
      </c>
      <c r="D142" s="22" t="s">
        <v>1347</v>
      </c>
      <c r="E142" s="22" t="s">
        <v>1348</v>
      </c>
      <c r="G142" s="22" t="s">
        <v>507</v>
      </c>
    </row>
    <row r="143" spans="1:7" ht="42.75" hidden="1" x14ac:dyDescent="0.2">
      <c r="A143" s="22" t="s">
        <v>665</v>
      </c>
      <c r="B143" s="22" t="s">
        <v>495</v>
      </c>
      <c r="C143" s="22" t="s">
        <v>491</v>
      </c>
      <c r="D143" s="22" t="s">
        <v>666</v>
      </c>
      <c r="E143" s="22" t="s">
        <v>1349</v>
      </c>
      <c r="G143" s="22" t="s">
        <v>1188</v>
      </c>
    </row>
    <row r="144" spans="1:7" ht="42.75" hidden="1" x14ac:dyDescent="0.2">
      <c r="A144" s="22" t="s">
        <v>665</v>
      </c>
      <c r="B144" s="22" t="s">
        <v>495</v>
      </c>
      <c r="C144" s="22" t="s">
        <v>491</v>
      </c>
      <c r="D144" s="22" t="s">
        <v>666</v>
      </c>
      <c r="E144" s="22" t="s">
        <v>1350</v>
      </c>
      <c r="G144" s="22" t="s">
        <v>493</v>
      </c>
    </row>
    <row r="145" spans="1:7" ht="171" hidden="1" x14ac:dyDescent="0.2">
      <c r="A145" s="22" t="s">
        <v>1351</v>
      </c>
      <c r="B145" s="22" t="s">
        <v>487</v>
      </c>
      <c r="C145" s="22" t="s">
        <v>491</v>
      </c>
      <c r="D145" s="22" t="s">
        <v>667</v>
      </c>
      <c r="E145" s="22" t="s">
        <v>1352</v>
      </c>
      <c r="G145" s="22" t="s">
        <v>507</v>
      </c>
    </row>
    <row r="146" spans="1:7" ht="156.75" hidden="1" x14ac:dyDescent="0.2">
      <c r="A146" s="22" t="s">
        <v>668</v>
      </c>
      <c r="B146" s="22" t="s">
        <v>487</v>
      </c>
      <c r="C146" s="22" t="s">
        <v>491</v>
      </c>
      <c r="D146" s="22" t="s">
        <v>1353</v>
      </c>
      <c r="E146" s="22" t="s">
        <v>1354</v>
      </c>
      <c r="G146" s="22" t="s">
        <v>493</v>
      </c>
    </row>
    <row r="147" spans="1:7" ht="156.75" hidden="1" x14ac:dyDescent="0.2">
      <c r="A147" s="22" t="s">
        <v>1355</v>
      </c>
      <c r="B147" s="22" t="s">
        <v>487</v>
      </c>
      <c r="C147" s="22" t="s">
        <v>491</v>
      </c>
      <c r="D147" s="22" t="s">
        <v>669</v>
      </c>
      <c r="E147" s="22" t="s">
        <v>1354</v>
      </c>
      <c r="G147" s="22" t="s">
        <v>507</v>
      </c>
    </row>
    <row r="148" spans="1:7" ht="57" hidden="1" x14ac:dyDescent="0.2">
      <c r="A148" s="22" t="s">
        <v>1000</v>
      </c>
      <c r="B148" s="22" t="s">
        <v>487</v>
      </c>
      <c r="C148" s="22" t="s">
        <v>491</v>
      </c>
      <c r="D148" s="22" t="s">
        <v>1356</v>
      </c>
      <c r="E148" s="22" t="s">
        <v>1357</v>
      </c>
      <c r="G148" s="22" t="s">
        <v>493</v>
      </c>
    </row>
    <row r="149" spans="1:7" ht="356.25" hidden="1" x14ac:dyDescent="0.2">
      <c r="A149" s="22" t="s">
        <v>670</v>
      </c>
      <c r="B149" s="22" t="s">
        <v>495</v>
      </c>
      <c r="C149" s="22" t="s">
        <v>491</v>
      </c>
      <c r="D149" s="22" t="s">
        <v>671</v>
      </c>
      <c r="E149" s="22" t="s">
        <v>1358</v>
      </c>
      <c r="G149" s="22" t="s">
        <v>513</v>
      </c>
    </row>
    <row r="150" spans="1:7" ht="71.25" hidden="1" x14ac:dyDescent="0.2">
      <c r="A150" s="22" t="s">
        <v>672</v>
      </c>
      <c r="B150" s="22" t="s">
        <v>495</v>
      </c>
      <c r="C150" s="22" t="s">
        <v>673</v>
      </c>
      <c r="D150" s="22" t="s">
        <v>1359</v>
      </c>
      <c r="E150" s="22" t="s">
        <v>1360</v>
      </c>
      <c r="G150" s="22" t="s">
        <v>507</v>
      </c>
    </row>
    <row r="151" spans="1:7" hidden="1" x14ac:dyDescent="0.2">
      <c r="A151" s="22" t="s">
        <v>1361</v>
      </c>
      <c r="B151" s="22" t="s">
        <v>495</v>
      </c>
      <c r="C151" s="22" t="s">
        <v>491</v>
      </c>
      <c r="D151" s="22" t="s">
        <v>1362</v>
      </c>
      <c r="E151" s="22" t="s">
        <v>487</v>
      </c>
      <c r="G151" s="22" t="s">
        <v>1188</v>
      </c>
    </row>
    <row r="152" spans="1:7" ht="28.5" hidden="1" x14ac:dyDescent="0.2">
      <c r="A152" s="22" t="s">
        <v>1363</v>
      </c>
      <c r="B152" s="22" t="s">
        <v>495</v>
      </c>
      <c r="C152" s="22" t="s">
        <v>487</v>
      </c>
      <c r="D152" s="22" t="s">
        <v>487</v>
      </c>
      <c r="E152" s="22" t="s">
        <v>1364</v>
      </c>
      <c r="G152" s="22" t="s">
        <v>493</v>
      </c>
    </row>
    <row r="153" spans="1:7" ht="28.5" hidden="1" x14ac:dyDescent="0.2">
      <c r="A153" s="22" t="s">
        <v>1365</v>
      </c>
      <c r="B153" s="22" t="s">
        <v>487</v>
      </c>
      <c r="C153" s="22" t="s">
        <v>491</v>
      </c>
      <c r="D153" s="22" t="s">
        <v>1366</v>
      </c>
      <c r="E153" s="22" t="s">
        <v>487</v>
      </c>
      <c r="G153" s="22" t="s">
        <v>507</v>
      </c>
    </row>
    <row r="154" spans="1:7" hidden="1" x14ac:dyDescent="0.2">
      <c r="A154" s="22" t="s">
        <v>674</v>
      </c>
      <c r="B154" s="22" t="s">
        <v>495</v>
      </c>
      <c r="C154" s="22" t="s">
        <v>1367</v>
      </c>
      <c r="D154" s="22" t="s">
        <v>675</v>
      </c>
      <c r="E154" s="22" t="s">
        <v>487</v>
      </c>
      <c r="G154" s="22" t="s">
        <v>487</v>
      </c>
    </row>
    <row r="155" spans="1:7" ht="28.5" hidden="1" x14ac:dyDescent="0.2">
      <c r="A155" s="22" t="s">
        <v>431</v>
      </c>
      <c r="B155" s="22" t="s">
        <v>424</v>
      </c>
      <c r="C155" s="22" t="s">
        <v>491</v>
      </c>
      <c r="D155" s="22" t="s">
        <v>1368</v>
      </c>
      <c r="E155" s="22" t="s">
        <v>677</v>
      </c>
      <c r="G155" s="22" t="s">
        <v>507</v>
      </c>
    </row>
    <row r="156" spans="1:7" ht="28.5" hidden="1" x14ac:dyDescent="0.2">
      <c r="A156" s="22" t="s">
        <v>431</v>
      </c>
      <c r="B156" s="22" t="s">
        <v>424</v>
      </c>
      <c r="C156" s="22" t="s">
        <v>491</v>
      </c>
      <c r="D156" s="22" t="s">
        <v>676</v>
      </c>
      <c r="E156" s="22" t="s">
        <v>677</v>
      </c>
      <c r="G156" s="22" t="s">
        <v>1188</v>
      </c>
    </row>
    <row r="157" spans="1:7" ht="28.5" hidden="1" x14ac:dyDescent="0.2">
      <c r="A157" s="22" t="s">
        <v>1369</v>
      </c>
      <c r="B157" s="22" t="s">
        <v>495</v>
      </c>
      <c r="C157" s="22" t="s">
        <v>1370</v>
      </c>
      <c r="D157" s="22" t="s">
        <v>1371</v>
      </c>
      <c r="G157" s="22" t="s">
        <v>487</v>
      </c>
    </row>
    <row r="158" spans="1:7" hidden="1" x14ac:dyDescent="0.2">
      <c r="A158" s="22" t="s">
        <v>678</v>
      </c>
      <c r="B158" s="22" t="s">
        <v>647</v>
      </c>
      <c r="C158" s="22" t="s">
        <v>487</v>
      </c>
      <c r="D158" s="22" t="s">
        <v>487</v>
      </c>
      <c r="E158" s="22" t="s">
        <v>487</v>
      </c>
      <c r="G158" s="22" t="s">
        <v>1213</v>
      </c>
    </row>
    <row r="159" spans="1:7" hidden="1" x14ac:dyDescent="0.2">
      <c r="A159" s="22" t="s">
        <v>679</v>
      </c>
      <c r="B159" s="22" t="s">
        <v>647</v>
      </c>
      <c r="C159" s="22" t="s">
        <v>487</v>
      </c>
      <c r="D159" s="22" t="s">
        <v>487</v>
      </c>
      <c r="E159" s="22" t="s">
        <v>487</v>
      </c>
      <c r="G159" s="22" t="s">
        <v>507</v>
      </c>
    </row>
    <row r="160" spans="1:7" ht="42.75" hidden="1" x14ac:dyDescent="0.2">
      <c r="A160" s="22" t="s">
        <v>1372</v>
      </c>
      <c r="B160" s="22" t="s">
        <v>462</v>
      </c>
      <c r="C160" s="22" t="s">
        <v>491</v>
      </c>
      <c r="D160" s="22" t="s">
        <v>680</v>
      </c>
      <c r="E160" s="22" t="s">
        <v>1373</v>
      </c>
      <c r="G160" s="22" t="s">
        <v>1188</v>
      </c>
    </row>
    <row r="161" spans="1:7" ht="28.5" hidden="1" x14ac:dyDescent="0.2">
      <c r="A161" s="22" t="s">
        <v>1374</v>
      </c>
      <c r="B161" s="22" t="s">
        <v>487</v>
      </c>
      <c r="C161" s="22" t="s">
        <v>491</v>
      </c>
      <c r="D161" s="22" t="s">
        <v>1375</v>
      </c>
      <c r="E161" s="22" t="s">
        <v>1376</v>
      </c>
      <c r="G161" s="22" t="s">
        <v>507</v>
      </c>
    </row>
    <row r="162" spans="1:7" hidden="1" x14ac:dyDescent="0.2">
      <c r="A162" s="22" t="s">
        <v>681</v>
      </c>
      <c r="B162" s="22" t="s">
        <v>524</v>
      </c>
      <c r="C162" s="22" t="s">
        <v>487</v>
      </c>
      <c r="D162" s="22" t="s">
        <v>487</v>
      </c>
      <c r="E162" s="22" t="s">
        <v>487</v>
      </c>
      <c r="G162" s="22" t="s">
        <v>1188</v>
      </c>
    </row>
    <row r="163" spans="1:7" hidden="1" x14ac:dyDescent="0.2">
      <c r="A163" s="22" t="s">
        <v>682</v>
      </c>
      <c r="B163" s="22" t="s">
        <v>654</v>
      </c>
      <c r="C163" s="22" t="s">
        <v>487</v>
      </c>
      <c r="D163" s="22" t="s">
        <v>487</v>
      </c>
      <c r="E163" s="22" t="s">
        <v>487</v>
      </c>
      <c r="G163" s="22" t="s">
        <v>493</v>
      </c>
    </row>
    <row r="164" spans="1:7" ht="71.25" hidden="1" x14ac:dyDescent="0.2">
      <c r="A164" s="22" t="s">
        <v>428</v>
      </c>
      <c r="B164" s="22" t="s">
        <v>424</v>
      </c>
      <c r="C164" s="22" t="s">
        <v>487</v>
      </c>
      <c r="D164" s="22" t="s">
        <v>487</v>
      </c>
      <c r="E164" s="22" t="s">
        <v>683</v>
      </c>
      <c r="G164" s="22" t="s">
        <v>513</v>
      </c>
    </row>
    <row r="165" spans="1:7" hidden="1" x14ac:dyDescent="0.2">
      <c r="A165" s="22" t="s">
        <v>428</v>
      </c>
      <c r="B165" s="22" t="s">
        <v>424</v>
      </c>
      <c r="C165" s="22" t="s">
        <v>487</v>
      </c>
      <c r="D165" s="22" t="s">
        <v>487</v>
      </c>
      <c r="G165" s="22" t="s">
        <v>507</v>
      </c>
    </row>
    <row r="166" spans="1:7" ht="28.5" hidden="1" x14ac:dyDescent="0.2">
      <c r="A166" s="22" t="s">
        <v>684</v>
      </c>
      <c r="B166" s="22" t="s">
        <v>424</v>
      </c>
      <c r="C166" s="22" t="s">
        <v>491</v>
      </c>
      <c r="D166" s="22" t="s">
        <v>685</v>
      </c>
      <c r="E166" s="22" t="s">
        <v>686</v>
      </c>
      <c r="G166" s="22" t="s">
        <v>1188</v>
      </c>
    </row>
    <row r="167" spans="1:7" ht="28.5" hidden="1" x14ac:dyDescent="0.2">
      <c r="A167" s="22" t="s">
        <v>687</v>
      </c>
      <c r="B167" s="22" t="s">
        <v>644</v>
      </c>
      <c r="C167" s="22" t="s">
        <v>491</v>
      </c>
      <c r="D167" s="22" t="s">
        <v>688</v>
      </c>
      <c r="E167" s="22" t="s">
        <v>689</v>
      </c>
      <c r="G167" s="22" t="s">
        <v>507</v>
      </c>
    </row>
    <row r="168" spans="1:7" ht="28.5" hidden="1" x14ac:dyDescent="0.2">
      <c r="A168" s="22" t="s">
        <v>1377</v>
      </c>
      <c r="B168" s="22" t="s">
        <v>495</v>
      </c>
      <c r="C168" s="22" t="s">
        <v>690</v>
      </c>
      <c r="D168" s="22" t="s">
        <v>1378</v>
      </c>
      <c r="E168" s="22" t="s">
        <v>1379</v>
      </c>
      <c r="G168" s="22" t="s">
        <v>1188</v>
      </c>
    </row>
    <row r="169" spans="1:7" ht="42.75" hidden="1" x14ac:dyDescent="0.2">
      <c r="A169" s="22" t="s">
        <v>691</v>
      </c>
      <c r="B169" s="22" t="s">
        <v>495</v>
      </c>
      <c r="C169" s="22" t="s">
        <v>692</v>
      </c>
      <c r="D169" s="22" t="s">
        <v>1380</v>
      </c>
      <c r="E169" s="22" t="s">
        <v>1381</v>
      </c>
      <c r="G169" s="22" t="s">
        <v>1192</v>
      </c>
    </row>
    <row r="170" spans="1:7" hidden="1" x14ac:dyDescent="0.2">
      <c r="A170" s="22" t="s">
        <v>693</v>
      </c>
      <c r="B170" s="22" t="s">
        <v>654</v>
      </c>
      <c r="C170" s="22" t="s">
        <v>487</v>
      </c>
      <c r="D170" s="22" t="s">
        <v>487</v>
      </c>
      <c r="E170" s="22" t="s">
        <v>487</v>
      </c>
      <c r="G170" s="22" t="s">
        <v>493</v>
      </c>
    </row>
    <row r="171" spans="1:7" ht="28.5" hidden="1" x14ac:dyDescent="0.2">
      <c r="A171" s="22" t="s">
        <v>1382</v>
      </c>
      <c r="B171" s="22" t="s">
        <v>487</v>
      </c>
      <c r="C171" s="22" t="s">
        <v>491</v>
      </c>
      <c r="D171" s="22" t="s">
        <v>1383</v>
      </c>
      <c r="E171" s="22" t="s">
        <v>487</v>
      </c>
      <c r="G171" s="22" t="s">
        <v>513</v>
      </c>
    </row>
    <row r="172" spans="1:7" ht="28.5" hidden="1" x14ac:dyDescent="0.2">
      <c r="A172" s="22" t="s">
        <v>434</v>
      </c>
      <c r="B172" s="22" t="s">
        <v>424</v>
      </c>
      <c r="C172" s="22" t="s">
        <v>491</v>
      </c>
      <c r="D172" s="22" t="s">
        <v>694</v>
      </c>
      <c r="E172" s="22" t="s">
        <v>695</v>
      </c>
      <c r="G172" s="22" t="s">
        <v>507</v>
      </c>
    </row>
    <row r="173" spans="1:7" ht="57" hidden="1" x14ac:dyDescent="0.2">
      <c r="A173" s="22" t="s">
        <v>696</v>
      </c>
      <c r="B173" s="22" t="s">
        <v>647</v>
      </c>
      <c r="C173" s="22" t="s">
        <v>487</v>
      </c>
      <c r="D173" s="22" t="s">
        <v>487</v>
      </c>
      <c r="E173" s="22" t="s">
        <v>1384</v>
      </c>
      <c r="G173" s="22" t="s">
        <v>1188</v>
      </c>
    </row>
    <row r="174" spans="1:7" ht="85.5" hidden="1" x14ac:dyDescent="0.2">
      <c r="A174" s="22" t="s">
        <v>696</v>
      </c>
      <c r="B174" s="22" t="s">
        <v>647</v>
      </c>
      <c r="C174" s="22" t="s">
        <v>487</v>
      </c>
      <c r="D174" s="22" t="s">
        <v>487</v>
      </c>
      <c r="E174" s="22" t="s">
        <v>1385</v>
      </c>
      <c r="G174" s="22" t="s">
        <v>493</v>
      </c>
    </row>
    <row r="175" spans="1:7" ht="42.75" hidden="1" x14ac:dyDescent="0.2">
      <c r="A175" s="22" t="s">
        <v>697</v>
      </c>
      <c r="B175" s="22" t="s">
        <v>647</v>
      </c>
      <c r="C175" s="22" t="s">
        <v>487</v>
      </c>
      <c r="D175" s="22" t="s">
        <v>487</v>
      </c>
      <c r="E175" s="22" t="s">
        <v>698</v>
      </c>
      <c r="G175" s="22" t="s">
        <v>507</v>
      </c>
    </row>
    <row r="176" spans="1:7" ht="57" hidden="1" x14ac:dyDescent="0.2">
      <c r="A176" s="22" t="s">
        <v>699</v>
      </c>
      <c r="B176" s="22" t="s">
        <v>647</v>
      </c>
      <c r="C176" s="22" t="s">
        <v>487</v>
      </c>
      <c r="D176" s="22" t="s">
        <v>487</v>
      </c>
      <c r="E176" s="22" t="s">
        <v>1386</v>
      </c>
      <c r="G176" s="22" t="s">
        <v>507</v>
      </c>
    </row>
    <row r="177" spans="1:7" ht="57" hidden="1" x14ac:dyDescent="0.2">
      <c r="A177" s="22" t="s">
        <v>699</v>
      </c>
      <c r="B177" s="22" t="s">
        <v>647</v>
      </c>
      <c r="C177" s="22" t="s">
        <v>487</v>
      </c>
      <c r="D177" s="22" t="s">
        <v>487</v>
      </c>
      <c r="E177" s="22" t="s">
        <v>1387</v>
      </c>
      <c r="G177" s="22" t="s">
        <v>1188</v>
      </c>
    </row>
    <row r="178" spans="1:7" ht="28.5" hidden="1" x14ac:dyDescent="0.2">
      <c r="A178" s="22" t="s">
        <v>700</v>
      </c>
      <c r="B178" s="22" t="s">
        <v>647</v>
      </c>
      <c r="C178" s="22" t="s">
        <v>487</v>
      </c>
      <c r="D178" s="22" t="s">
        <v>487</v>
      </c>
      <c r="E178" s="22" t="s">
        <v>701</v>
      </c>
      <c r="G178" s="22" t="s">
        <v>493</v>
      </c>
    </row>
    <row r="179" spans="1:7" ht="57" hidden="1" x14ac:dyDescent="0.2">
      <c r="A179" s="22" t="s">
        <v>702</v>
      </c>
      <c r="B179" s="22" t="s">
        <v>495</v>
      </c>
      <c r="C179" s="22" t="s">
        <v>491</v>
      </c>
      <c r="D179" s="22" t="s">
        <v>703</v>
      </c>
      <c r="E179" s="22" t="s">
        <v>1388</v>
      </c>
      <c r="G179" s="22" t="s">
        <v>513</v>
      </c>
    </row>
    <row r="180" spans="1:7" hidden="1" x14ac:dyDescent="0.2">
      <c r="A180" s="22" t="s">
        <v>704</v>
      </c>
      <c r="B180" s="22" t="s">
        <v>462</v>
      </c>
      <c r="C180" s="22" t="s">
        <v>487</v>
      </c>
      <c r="D180" s="22" t="s">
        <v>487</v>
      </c>
      <c r="E180" s="22" t="s">
        <v>487</v>
      </c>
      <c r="G180" s="22" t="s">
        <v>507</v>
      </c>
    </row>
    <row r="181" spans="1:7" ht="114" hidden="1" x14ac:dyDescent="0.2">
      <c r="A181" s="22" t="s">
        <v>705</v>
      </c>
      <c r="B181" s="22" t="s">
        <v>524</v>
      </c>
      <c r="C181" s="22" t="s">
        <v>491</v>
      </c>
      <c r="D181" s="22" t="s">
        <v>706</v>
      </c>
      <c r="E181" s="22" t="s">
        <v>707</v>
      </c>
      <c r="G181" s="22" t="s">
        <v>1188</v>
      </c>
    </row>
    <row r="182" spans="1:7" ht="114" hidden="1" x14ac:dyDescent="0.2">
      <c r="A182" s="22" t="s">
        <v>1389</v>
      </c>
      <c r="B182" s="22" t="s">
        <v>490</v>
      </c>
      <c r="C182" s="22" t="s">
        <v>491</v>
      </c>
      <c r="D182" s="22" t="s">
        <v>1390</v>
      </c>
      <c r="E182" s="22" t="s">
        <v>1391</v>
      </c>
      <c r="G182" s="22" t="s">
        <v>493</v>
      </c>
    </row>
    <row r="183" spans="1:7" ht="114" hidden="1" x14ac:dyDescent="0.2">
      <c r="A183" s="22" t="s">
        <v>708</v>
      </c>
      <c r="B183" s="22" t="s">
        <v>490</v>
      </c>
      <c r="C183" s="22" t="s">
        <v>491</v>
      </c>
      <c r="D183" s="22" t="s">
        <v>1390</v>
      </c>
      <c r="E183" s="22" t="s">
        <v>1391</v>
      </c>
      <c r="G183" s="22" t="s">
        <v>507</v>
      </c>
    </row>
    <row r="184" spans="1:7" ht="156.75" hidden="1" x14ac:dyDescent="0.2">
      <c r="A184" s="22" t="s">
        <v>709</v>
      </c>
      <c r="B184" s="22" t="s">
        <v>495</v>
      </c>
      <c r="C184" s="22" t="s">
        <v>491</v>
      </c>
      <c r="D184" s="22" t="s">
        <v>1392</v>
      </c>
      <c r="E184" s="22" t="s">
        <v>487</v>
      </c>
      <c r="G184" s="22" t="s">
        <v>493</v>
      </c>
    </row>
    <row r="185" spans="1:7" ht="28.5" hidden="1" x14ac:dyDescent="0.2">
      <c r="A185" s="22" t="s">
        <v>435</v>
      </c>
      <c r="B185" s="22" t="s">
        <v>424</v>
      </c>
      <c r="C185" s="22" t="s">
        <v>491</v>
      </c>
      <c r="D185" s="22" t="s">
        <v>710</v>
      </c>
      <c r="E185" s="22" t="s">
        <v>711</v>
      </c>
      <c r="G185" s="22" t="s">
        <v>513</v>
      </c>
    </row>
    <row r="186" spans="1:7" ht="185.25" hidden="1" x14ac:dyDescent="0.2">
      <c r="A186" s="22" t="s">
        <v>712</v>
      </c>
      <c r="B186" s="22" t="s">
        <v>495</v>
      </c>
      <c r="C186" s="22" t="s">
        <v>491</v>
      </c>
      <c r="D186" s="22" t="s">
        <v>1393</v>
      </c>
      <c r="E186" s="22" t="s">
        <v>1394</v>
      </c>
      <c r="G186" s="22" t="s">
        <v>507</v>
      </c>
    </row>
    <row r="187" spans="1:7" ht="42.75" hidden="1" x14ac:dyDescent="0.2">
      <c r="A187" s="22" t="s">
        <v>1395</v>
      </c>
      <c r="B187" s="22" t="s">
        <v>487</v>
      </c>
      <c r="C187" s="22" t="s">
        <v>491</v>
      </c>
      <c r="D187" s="22" t="s">
        <v>1396</v>
      </c>
      <c r="E187" s="22" t="s">
        <v>1397</v>
      </c>
      <c r="G187" s="22" t="s">
        <v>1188</v>
      </c>
    </row>
    <row r="188" spans="1:7" ht="42.75" hidden="1" x14ac:dyDescent="0.2">
      <c r="A188" s="22" t="s">
        <v>1398</v>
      </c>
      <c r="B188" s="22" t="s">
        <v>487</v>
      </c>
      <c r="C188" s="22" t="s">
        <v>491</v>
      </c>
      <c r="D188" s="22" t="s">
        <v>1399</v>
      </c>
      <c r="E188" s="22" t="s">
        <v>1400</v>
      </c>
      <c r="G188" s="22" t="s">
        <v>493</v>
      </c>
    </row>
    <row r="189" spans="1:7" ht="42.75" hidden="1" x14ac:dyDescent="0.2">
      <c r="A189" s="22" t="s">
        <v>1401</v>
      </c>
      <c r="B189" s="22" t="s">
        <v>487</v>
      </c>
      <c r="C189" s="22" t="s">
        <v>491</v>
      </c>
      <c r="D189" s="22" t="s">
        <v>1402</v>
      </c>
      <c r="E189" s="22" t="s">
        <v>1403</v>
      </c>
      <c r="G189" s="22" t="s">
        <v>507</v>
      </c>
    </row>
    <row r="190" spans="1:7" ht="28.5" hidden="1" x14ac:dyDescent="0.2">
      <c r="A190" s="22" t="s">
        <v>432</v>
      </c>
      <c r="B190" s="22" t="s">
        <v>424</v>
      </c>
      <c r="C190" s="22" t="s">
        <v>491</v>
      </c>
      <c r="D190" s="22" t="s">
        <v>713</v>
      </c>
      <c r="E190" s="22" t="s">
        <v>714</v>
      </c>
      <c r="G190" s="22" t="s">
        <v>1175</v>
      </c>
    </row>
    <row r="191" spans="1:7" ht="28.5" hidden="1" x14ac:dyDescent="0.2">
      <c r="A191" s="22" t="s">
        <v>482</v>
      </c>
      <c r="B191" s="22" t="s">
        <v>424</v>
      </c>
      <c r="C191" s="22" t="s">
        <v>491</v>
      </c>
      <c r="D191" s="22" t="s">
        <v>715</v>
      </c>
      <c r="E191" s="22" t="s">
        <v>716</v>
      </c>
    </row>
    <row r="192" spans="1:7" ht="28.5" hidden="1" x14ac:dyDescent="0.2">
      <c r="A192" s="22" t="s">
        <v>717</v>
      </c>
      <c r="B192" s="22" t="s">
        <v>469</v>
      </c>
      <c r="C192" s="22" t="s">
        <v>491</v>
      </c>
      <c r="D192" s="22" t="s">
        <v>718</v>
      </c>
      <c r="E192" s="22" t="s">
        <v>487</v>
      </c>
      <c r="G192" s="22" t="s">
        <v>1175</v>
      </c>
    </row>
    <row r="193" spans="1:7" ht="71.25" hidden="1" x14ac:dyDescent="0.2">
      <c r="A193" s="22" t="s">
        <v>719</v>
      </c>
      <c r="B193" s="22" t="s">
        <v>469</v>
      </c>
      <c r="C193" s="22" t="s">
        <v>491</v>
      </c>
      <c r="D193" s="22" t="s">
        <v>720</v>
      </c>
      <c r="E193" s="22" t="s">
        <v>1404</v>
      </c>
      <c r="G193" s="22" t="s">
        <v>1175</v>
      </c>
    </row>
    <row r="194" spans="1:7" ht="28.5" hidden="1" x14ac:dyDescent="0.2">
      <c r="A194" s="22" t="s">
        <v>721</v>
      </c>
      <c r="B194" s="22" t="s">
        <v>490</v>
      </c>
      <c r="C194" s="22" t="s">
        <v>491</v>
      </c>
      <c r="D194" s="22" t="s">
        <v>722</v>
      </c>
      <c r="E194" s="22" t="s">
        <v>487</v>
      </c>
      <c r="G194" s="22" t="s">
        <v>1175</v>
      </c>
    </row>
    <row r="195" spans="1:7" ht="28.5" hidden="1" x14ac:dyDescent="0.2">
      <c r="A195" s="22" t="s">
        <v>723</v>
      </c>
      <c r="B195" s="22" t="s">
        <v>490</v>
      </c>
      <c r="C195" s="22" t="s">
        <v>491</v>
      </c>
      <c r="D195" s="22" t="s">
        <v>724</v>
      </c>
      <c r="E195" s="22" t="s">
        <v>487</v>
      </c>
      <c r="G195" s="22" t="s">
        <v>1175</v>
      </c>
    </row>
    <row r="196" spans="1:7" hidden="1" x14ac:dyDescent="0.2">
      <c r="A196" s="46"/>
      <c r="B196" s="46"/>
      <c r="C196" s="46"/>
      <c r="D196" s="46"/>
      <c r="E196" s="46"/>
      <c r="F196" s="46"/>
      <c r="G196" s="22" t="s">
        <v>1175</v>
      </c>
    </row>
    <row r="197" spans="1:7" hidden="1" x14ac:dyDescent="0.2">
      <c r="A197" s="46"/>
      <c r="B197" s="46"/>
      <c r="C197" s="46"/>
      <c r="D197" s="46"/>
      <c r="E197" s="46"/>
      <c r="F197" s="46"/>
      <c r="G197" s="22" t="s">
        <v>1175</v>
      </c>
    </row>
    <row r="198" spans="1:7" hidden="1" x14ac:dyDescent="0.2">
      <c r="A198" s="46"/>
      <c r="B198" s="46"/>
      <c r="C198" s="46"/>
      <c r="D198" s="46"/>
      <c r="E198" s="46"/>
      <c r="F198" s="46"/>
      <c r="G198" s="22" t="s">
        <v>1175</v>
      </c>
    </row>
    <row r="199" spans="1:7" hidden="1" x14ac:dyDescent="0.2">
      <c r="A199" s="46"/>
      <c r="B199" s="46"/>
      <c r="C199" s="46"/>
      <c r="D199" s="46"/>
      <c r="E199" s="46"/>
      <c r="F199" s="46"/>
      <c r="G199" s="22" t="s">
        <v>493</v>
      </c>
    </row>
    <row r="200" spans="1:7" hidden="1" x14ac:dyDescent="0.2">
      <c r="A200" s="46"/>
      <c r="B200" s="46"/>
      <c r="C200" s="46"/>
      <c r="D200" s="46"/>
      <c r="E200" s="46"/>
      <c r="F200" s="46"/>
      <c r="G200" s="22" t="s">
        <v>507</v>
      </c>
    </row>
    <row r="201" spans="1:7" hidden="1" x14ac:dyDescent="0.2">
      <c r="A201" s="46"/>
      <c r="B201" s="46"/>
      <c r="C201" s="46"/>
      <c r="D201" s="46"/>
      <c r="E201" s="46"/>
      <c r="F201" s="46"/>
      <c r="G201" s="22" t="s">
        <v>1206</v>
      </c>
    </row>
    <row r="202" spans="1:7" hidden="1" x14ac:dyDescent="0.2">
      <c r="A202" s="46"/>
      <c r="B202" s="46"/>
      <c r="C202" s="46"/>
      <c r="D202" s="46"/>
      <c r="E202" s="46"/>
      <c r="F202" s="46"/>
      <c r="G202" s="22" t="s">
        <v>507</v>
      </c>
    </row>
    <row r="203" spans="1:7" hidden="1" x14ac:dyDescent="0.2">
      <c r="A203" s="46"/>
      <c r="B203" s="46"/>
      <c r="C203" s="46"/>
      <c r="D203" s="46"/>
      <c r="E203" s="46"/>
      <c r="F203" s="46"/>
      <c r="G203" s="22" t="s">
        <v>1188</v>
      </c>
    </row>
    <row r="204" spans="1:7" hidden="1" x14ac:dyDescent="0.2">
      <c r="A204" s="46"/>
      <c r="B204" s="46"/>
      <c r="C204" s="46"/>
      <c r="D204" s="46"/>
      <c r="E204" s="46"/>
      <c r="F204" s="46"/>
      <c r="G204" s="22" t="s">
        <v>493</v>
      </c>
    </row>
    <row r="205" spans="1:7" hidden="1" x14ac:dyDescent="0.2">
      <c r="A205" s="46"/>
      <c r="B205" s="46"/>
      <c r="C205" s="46"/>
      <c r="D205" s="46"/>
      <c r="E205" s="46"/>
      <c r="F205" s="46"/>
      <c r="G205" s="22" t="s">
        <v>507</v>
      </c>
    </row>
    <row r="206" spans="1:7" hidden="1" x14ac:dyDescent="0.2">
      <c r="A206" s="46"/>
      <c r="B206" s="46"/>
      <c r="C206" s="46"/>
      <c r="D206" s="46"/>
      <c r="E206" s="46"/>
      <c r="F206" s="46"/>
      <c r="G206" s="22" t="s">
        <v>507</v>
      </c>
    </row>
    <row r="207" spans="1:7" hidden="1" x14ac:dyDescent="0.2">
      <c r="A207" s="46"/>
      <c r="B207" s="46"/>
      <c r="C207" s="46"/>
      <c r="D207" s="46"/>
      <c r="E207" s="46"/>
      <c r="F207" s="46"/>
      <c r="G207" s="22" t="s">
        <v>1188</v>
      </c>
    </row>
    <row r="208" spans="1:7" hidden="1" x14ac:dyDescent="0.2">
      <c r="A208" s="46"/>
      <c r="B208" s="46"/>
      <c r="C208" s="46"/>
      <c r="D208" s="46"/>
      <c r="E208" s="46"/>
      <c r="F208" s="46"/>
      <c r="G208" s="22" t="s">
        <v>493</v>
      </c>
    </row>
    <row r="209" spans="1:7" hidden="1" x14ac:dyDescent="0.2">
      <c r="A209" s="46"/>
      <c r="B209" s="46"/>
      <c r="C209" s="46"/>
      <c r="D209" s="46"/>
      <c r="E209" s="46"/>
      <c r="F209" s="46"/>
      <c r="G209" s="22" t="s">
        <v>513</v>
      </c>
    </row>
    <row r="210" spans="1:7" hidden="1" x14ac:dyDescent="0.2">
      <c r="A210" s="46"/>
      <c r="B210" s="46"/>
      <c r="C210" s="46"/>
      <c r="D210" s="46"/>
      <c r="E210" s="46"/>
      <c r="F210" s="46"/>
      <c r="G210" s="22" t="s">
        <v>507</v>
      </c>
    </row>
    <row r="211" spans="1:7" hidden="1" x14ac:dyDescent="0.2">
      <c r="A211" s="46"/>
      <c r="B211" s="46"/>
      <c r="C211" s="46"/>
      <c r="D211" s="46"/>
      <c r="E211" s="46"/>
      <c r="F211" s="46"/>
      <c r="G211" s="22" t="s">
        <v>1188</v>
      </c>
    </row>
    <row r="212" spans="1:7" hidden="1" x14ac:dyDescent="0.2">
      <c r="A212" s="46"/>
      <c r="B212" s="46"/>
      <c r="C212" s="46"/>
      <c r="D212" s="46"/>
      <c r="E212" s="46"/>
      <c r="F212" s="46"/>
      <c r="G212" s="22" t="s">
        <v>493</v>
      </c>
    </row>
    <row r="213" spans="1:7" hidden="1" x14ac:dyDescent="0.2">
      <c r="A213" s="46"/>
      <c r="B213" s="46"/>
      <c r="C213" s="46"/>
      <c r="D213" s="46"/>
      <c r="E213" s="46"/>
      <c r="F213" s="46"/>
      <c r="G213" s="22" t="s">
        <v>507</v>
      </c>
    </row>
    <row r="214" spans="1:7" hidden="1" x14ac:dyDescent="0.2">
      <c r="A214" s="46"/>
      <c r="B214" s="46"/>
      <c r="C214" s="46"/>
      <c r="D214" s="46"/>
      <c r="E214" s="46"/>
      <c r="F214" s="46"/>
      <c r="G214" s="22" t="s">
        <v>1181</v>
      </c>
    </row>
    <row r="215" spans="1:7" hidden="1" x14ac:dyDescent="0.2">
      <c r="A215" s="46"/>
      <c r="B215" s="46"/>
      <c r="C215" s="46"/>
      <c r="D215" s="46"/>
      <c r="E215" s="46"/>
      <c r="F215" s="46"/>
      <c r="G215" s="22" t="s">
        <v>1206</v>
      </c>
    </row>
    <row r="216" spans="1:7" hidden="1" x14ac:dyDescent="0.2">
      <c r="A216" s="46"/>
      <c r="B216" s="46"/>
      <c r="C216" s="46"/>
      <c r="D216" s="46"/>
      <c r="E216" s="46"/>
      <c r="F216" s="46"/>
      <c r="G216" s="22" t="s">
        <v>1206</v>
      </c>
    </row>
    <row r="217" spans="1:7" hidden="1" x14ac:dyDescent="0.2">
      <c r="A217" s="46"/>
      <c r="B217" s="46"/>
      <c r="C217" s="46"/>
      <c r="D217" s="46"/>
      <c r="E217" s="46"/>
      <c r="F217" s="46"/>
      <c r="G217" s="22" t="s">
        <v>493</v>
      </c>
    </row>
    <row r="218" spans="1:7" hidden="1" x14ac:dyDescent="0.2">
      <c r="A218" s="46"/>
      <c r="B218" s="46"/>
      <c r="C218" s="46"/>
      <c r="D218" s="46"/>
      <c r="E218" s="46"/>
      <c r="F218" s="46"/>
      <c r="G218" s="22" t="s">
        <v>507</v>
      </c>
    </row>
    <row r="219" spans="1:7" hidden="1" x14ac:dyDescent="0.2">
      <c r="A219" s="46"/>
      <c r="B219" s="46"/>
      <c r="C219" s="46"/>
      <c r="D219" s="46"/>
      <c r="E219" s="46"/>
      <c r="F219" s="46"/>
      <c r="G219" s="22" t="s">
        <v>493</v>
      </c>
    </row>
    <row r="220" spans="1:7" hidden="1" x14ac:dyDescent="0.2">
      <c r="A220" s="46"/>
      <c r="B220" s="46"/>
      <c r="C220" s="46"/>
      <c r="D220" s="46"/>
      <c r="E220" s="46"/>
      <c r="F220" s="46"/>
      <c r="G220" s="22" t="s">
        <v>507</v>
      </c>
    </row>
    <row r="221" spans="1:7" hidden="1" x14ac:dyDescent="0.2">
      <c r="A221" s="46"/>
      <c r="B221" s="46"/>
      <c r="C221" s="46"/>
      <c r="D221" s="46"/>
      <c r="E221" s="46"/>
      <c r="F221" s="46"/>
      <c r="G221" s="22" t="s">
        <v>1175</v>
      </c>
    </row>
    <row r="222" spans="1:7" hidden="1" x14ac:dyDescent="0.2">
      <c r="A222" s="46"/>
      <c r="B222" s="46"/>
      <c r="C222" s="46"/>
      <c r="D222" s="46"/>
      <c r="E222" s="46"/>
      <c r="F222" s="46"/>
      <c r="G222" s="22" t="s">
        <v>493</v>
      </c>
    </row>
    <row r="223" spans="1:7" hidden="1" x14ac:dyDescent="0.2">
      <c r="A223" s="46"/>
      <c r="B223" s="46"/>
      <c r="C223" s="46"/>
      <c r="D223" s="46"/>
      <c r="E223" s="46"/>
      <c r="F223" s="46"/>
      <c r="G223" s="22" t="s">
        <v>507</v>
      </c>
    </row>
    <row r="224" spans="1:7" hidden="1" x14ac:dyDescent="0.2">
      <c r="A224" s="46"/>
      <c r="B224" s="46"/>
      <c r="C224" s="46"/>
      <c r="D224" s="46"/>
      <c r="E224" s="46"/>
      <c r="F224" s="46"/>
      <c r="G224" s="22" t="s">
        <v>1175</v>
      </c>
    </row>
    <row r="225" spans="1:7" hidden="1" x14ac:dyDescent="0.2">
      <c r="A225" s="46"/>
      <c r="B225" s="46"/>
      <c r="C225" s="46"/>
      <c r="D225" s="46"/>
      <c r="E225" s="46"/>
      <c r="F225" s="46"/>
      <c r="G225" s="22" t="s">
        <v>1181</v>
      </c>
    </row>
    <row r="226" spans="1:7" hidden="1" x14ac:dyDescent="0.2">
      <c r="A226" s="46"/>
      <c r="B226" s="46"/>
      <c r="C226" s="46"/>
      <c r="D226" s="46"/>
      <c r="E226" s="46"/>
      <c r="F226" s="46"/>
      <c r="G226" s="22" t="s">
        <v>1181</v>
      </c>
    </row>
    <row r="227" spans="1:7" hidden="1" x14ac:dyDescent="0.2">
      <c r="A227" s="46"/>
      <c r="B227" s="46"/>
      <c r="C227" s="46"/>
      <c r="D227" s="46"/>
      <c r="E227" s="46"/>
      <c r="F227" s="46"/>
      <c r="G227" s="22" t="s">
        <v>493</v>
      </c>
    </row>
    <row r="228" spans="1:7" hidden="1" x14ac:dyDescent="0.2">
      <c r="A228" s="46"/>
      <c r="B228" s="46"/>
      <c r="C228" s="46"/>
      <c r="D228" s="46"/>
      <c r="E228" s="46"/>
      <c r="F228" s="46"/>
      <c r="G228" s="22" t="s">
        <v>507</v>
      </c>
    </row>
    <row r="229" spans="1:7" hidden="1" x14ac:dyDescent="0.2">
      <c r="A229" s="46"/>
      <c r="B229" s="46"/>
      <c r="C229" s="46"/>
      <c r="D229" s="46"/>
      <c r="E229" s="46"/>
      <c r="F229" s="46"/>
      <c r="G229" s="22" t="s">
        <v>1175</v>
      </c>
    </row>
    <row r="230" spans="1:7" hidden="1" x14ac:dyDescent="0.2">
      <c r="A230" s="46"/>
      <c r="B230" s="46"/>
      <c r="C230" s="46"/>
      <c r="D230" s="46"/>
      <c r="E230" s="46"/>
      <c r="F230" s="46"/>
      <c r="G230" s="22" t="s">
        <v>493</v>
      </c>
    </row>
    <row r="231" spans="1:7" hidden="1" x14ac:dyDescent="0.2">
      <c r="A231" s="46"/>
      <c r="B231" s="46"/>
      <c r="C231" s="46"/>
      <c r="D231" s="46"/>
      <c r="E231" s="46"/>
      <c r="F231" s="46"/>
      <c r="G231" s="22" t="s">
        <v>507</v>
      </c>
    </row>
    <row r="232" spans="1:7" hidden="1" x14ac:dyDescent="0.2">
      <c r="A232" s="46"/>
      <c r="B232" s="46"/>
      <c r="C232" s="46"/>
      <c r="D232" s="46"/>
      <c r="E232" s="46"/>
      <c r="F232" s="46"/>
      <c r="G232" s="22" t="s">
        <v>1175</v>
      </c>
    </row>
    <row r="233" spans="1:7" hidden="1" x14ac:dyDescent="0.2">
      <c r="A233" s="46"/>
      <c r="B233" s="46"/>
      <c r="C233" s="46"/>
      <c r="D233" s="46"/>
      <c r="E233" s="46"/>
      <c r="F233" s="46"/>
      <c r="G233" s="22" t="s">
        <v>493</v>
      </c>
    </row>
    <row r="234" spans="1:7" hidden="1" x14ac:dyDescent="0.2">
      <c r="A234" s="46"/>
      <c r="B234" s="46"/>
      <c r="C234" s="46"/>
      <c r="D234" s="46"/>
      <c r="E234" s="46"/>
      <c r="F234" s="46"/>
      <c r="G234" s="22" t="s">
        <v>513</v>
      </c>
    </row>
    <row r="235" spans="1:7" hidden="1" x14ac:dyDescent="0.2">
      <c r="A235" s="46"/>
      <c r="B235" s="46"/>
      <c r="C235" s="46"/>
      <c r="D235" s="46"/>
      <c r="E235" s="46"/>
      <c r="F235" s="46"/>
      <c r="G235" s="22" t="s">
        <v>507</v>
      </c>
    </row>
    <row r="236" spans="1:7" hidden="1" x14ac:dyDescent="0.2">
      <c r="A236" s="46"/>
      <c r="B236" s="46"/>
      <c r="C236" s="46"/>
      <c r="D236" s="46"/>
      <c r="E236" s="46"/>
      <c r="F236" s="46"/>
      <c r="G236" s="22" t="s">
        <v>1188</v>
      </c>
    </row>
    <row r="237" spans="1:7" hidden="1" x14ac:dyDescent="0.2">
      <c r="A237" s="46"/>
      <c r="B237" s="46"/>
      <c r="C237" s="46"/>
      <c r="D237" s="46"/>
      <c r="E237" s="46"/>
      <c r="F237" s="46"/>
      <c r="G237" s="22" t="s">
        <v>1175</v>
      </c>
    </row>
    <row r="238" spans="1:7" hidden="1" x14ac:dyDescent="0.2">
      <c r="A238" s="46"/>
      <c r="B238" s="46"/>
      <c r="C238" s="46"/>
      <c r="D238" s="46"/>
      <c r="E238" s="46"/>
      <c r="F238" s="46"/>
      <c r="G238" s="22" t="s">
        <v>493</v>
      </c>
    </row>
    <row r="239" spans="1:7" hidden="1" x14ac:dyDescent="0.2">
      <c r="A239" s="46"/>
      <c r="B239" s="46"/>
      <c r="C239" s="46"/>
      <c r="D239" s="46"/>
      <c r="E239" s="46"/>
      <c r="F239" s="46"/>
      <c r="G239" s="22" t="s">
        <v>507</v>
      </c>
    </row>
    <row r="240" spans="1:7" hidden="1" x14ac:dyDescent="0.2">
      <c r="A240" s="46"/>
      <c r="B240" s="46"/>
      <c r="C240" s="46"/>
      <c r="D240" s="46"/>
      <c r="E240" s="46"/>
      <c r="F240" s="46"/>
      <c r="G240" s="22" t="s">
        <v>487</v>
      </c>
    </row>
    <row r="241" spans="1:7" hidden="1" x14ac:dyDescent="0.2">
      <c r="A241" s="46"/>
      <c r="B241" s="46"/>
      <c r="C241" s="46"/>
      <c r="D241" s="46"/>
      <c r="E241" s="46"/>
      <c r="F241" s="46"/>
      <c r="G241" s="22" t="s">
        <v>487</v>
      </c>
    </row>
    <row r="242" spans="1:7" hidden="1" x14ac:dyDescent="0.2">
      <c r="A242" s="46"/>
      <c r="B242" s="46"/>
      <c r="C242" s="46"/>
      <c r="D242" s="46"/>
      <c r="E242" s="46"/>
      <c r="F242" s="46"/>
      <c r="G242" s="22" t="s">
        <v>487</v>
      </c>
    </row>
    <row r="243" spans="1:7" hidden="1" x14ac:dyDescent="0.2">
      <c r="A243" s="46"/>
      <c r="B243" s="46"/>
      <c r="C243" s="46"/>
      <c r="D243" s="46"/>
      <c r="E243" s="46"/>
      <c r="F243" s="46"/>
      <c r="G243" s="22" t="s">
        <v>1206</v>
      </c>
    </row>
    <row r="244" spans="1:7" hidden="1" x14ac:dyDescent="0.2">
      <c r="A244" s="46"/>
      <c r="B244" s="46"/>
      <c r="C244" s="46"/>
      <c r="D244" s="46"/>
      <c r="E244" s="46"/>
      <c r="F244" s="46"/>
      <c r="G244" s="22" t="s">
        <v>487</v>
      </c>
    </row>
    <row r="245" spans="1:7" hidden="1" x14ac:dyDescent="0.2">
      <c r="A245" s="46"/>
      <c r="B245" s="46"/>
      <c r="C245" s="46"/>
      <c r="D245" s="46"/>
      <c r="E245" s="46"/>
      <c r="F245" s="46"/>
      <c r="G245" s="22" t="s">
        <v>493</v>
      </c>
    </row>
    <row r="246" spans="1:7" hidden="1" x14ac:dyDescent="0.2">
      <c r="A246" s="46"/>
      <c r="B246" s="46"/>
      <c r="C246" s="46"/>
      <c r="D246" s="46"/>
      <c r="E246" s="46"/>
      <c r="F246" s="46"/>
      <c r="G246" s="22" t="s">
        <v>513</v>
      </c>
    </row>
    <row r="247" spans="1:7" hidden="1" x14ac:dyDescent="0.2">
      <c r="A247" s="46"/>
      <c r="B247" s="46"/>
      <c r="C247" s="46"/>
      <c r="D247" s="46"/>
      <c r="E247" s="46"/>
      <c r="F247" s="46"/>
      <c r="G247" s="22" t="s">
        <v>507</v>
      </c>
    </row>
    <row r="248" spans="1:7" hidden="1" x14ac:dyDescent="0.2">
      <c r="A248" s="46"/>
      <c r="B248" s="46"/>
      <c r="C248" s="46"/>
      <c r="D248" s="46"/>
      <c r="E248" s="46"/>
      <c r="F248" s="46"/>
      <c r="G248" s="22" t="s">
        <v>1188</v>
      </c>
    </row>
    <row r="249" spans="1:7" x14ac:dyDescent="0.2">
      <c r="A249" s="46"/>
      <c r="B249" s="46"/>
      <c r="C249" s="46"/>
      <c r="D249" s="46"/>
      <c r="E249" s="46"/>
      <c r="F249" s="46"/>
    </row>
    <row r="250" spans="1:7" x14ac:dyDescent="0.2">
      <c r="A250" s="46"/>
      <c r="B250" s="46"/>
      <c r="C250" s="46"/>
      <c r="D250" s="46"/>
      <c r="E250" s="46"/>
      <c r="F250" s="46"/>
      <c r="G250" s="22" t="s">
        <v>526</v>
      </c>
    </row>
    <row r="251" spans="1:7" x14ac:dyDescent="0.2">
      <c r="A251" s="46"/>
      <c r="B251" s="46"/>
      <c r="C251" s="46"/>
      <c r="D251" s="46"/>
      <c r="E251" s="46"/>
      <c r="F251" s="46"/>
      <c r="G251" s="22" t="s">
        <v>493</v>
      </c>
    </row>
    <row r="252" spans="1:7" x14ac:dyDescent="0.2">
      <c r="A252" s="46"/>
      <c r="B252" s="46"/>
      <c r="C252" s="46"/>
      <c r="D252" s="46"/>
      <c r="E252" s="46"/>
      <c r="F252" s="46"/>
      <c r="G252" s="22" t="s">
        <v>507</v>
      </c>
    </row>
    <row r="253" spans="1:7" x14ac:dyDescent="0.2">
      <c r="A253" s="46"/>
      <c r="B253" s="46"/>
      <c r="C253" s="46"/>
      <c r="D253" s="46"/>
      <c r="E253" s="46"/>
      <c r="F253" s="46"/>
      <c r="G253" s="22" t="s">
        <v>526</v>
      </c>
    </row>
    <row r="254" spans="1:7" x14ac:dyDescent="0.2">
      <c r="A254" s="46"/>
      <c r="B254" s="46"/>
      <c r="C254" s="46"/>
      <c r="D254" s="46"/>
      <c r="E254" s="46"/>
      <c r="F254" s="46"/>
      <c r="G254" s="22" t="s">
        <v>493</v>
      </c>
    </row>
    <row r="255" spans="1:7" x14ac:dyDescent="0.2">
      <c r="A255" s="46"/>
      <c r="B255" s="46"/>
      <c r="C255" s="46"/>
      <c r="D255" s="46"/>
      <c r="E255" s="46"/>
      <c r="F255" s="46"/>
      <c r="G255" s="22" t="s">
        <v>507</v>
      </c>
    </row>
    <row r="256" spans="1:7" x14ac:dyDescent="0.2">
      <c r="A256" s="46"/>
      <c r="B256" s="46"/>
      <c r="C256" s="46"/>
      <c r="D256" s="46"/>
      <c r="E256" s="46"/>
      <c r="F256" s="46"/>
      <c r="G256" s="22" t="s">
        <v>488</v>
      </c>
    </row>
    <row r="257" spans="1:7" x14ac:dyDescent="0.2">
      <c r="A257" s="46"/>
      <c r="B257" s="46"/>
      <c r="C257" s="46"/>
      <c r="D257" s="46"/>
      <c r="E257" s="46"/>
      <c r="F257" s="46"/>
      <c r="G257" s="22" t="s">
        <v>1181</v>
      </c>
    </row>
    <row r="258" spans="1:7" x14ac:dyDescent="0.2">
      <c r="A258" s="46"/>
      <c r="B258" s="46"/>
      <c r="C258" s="46"/>
      <c r="D258" s="46"/>
      <c r="E258" s="46"/>
      <c r="F258" s="46"/>
      <c r="G258" s="22" t="s">
        <v>487</v>
      </c>
    </row>
    <row r="259" spans="1:7" x14ac:dyDescent="0.2">
      <c r="A259" s="46"/>
      <c r="B259" s="46"/>
      <c r="C259" s="46"/>
      <c r="D259" s="46"/>
      <c r="E259" s="46"/>
      <c r="F259" s="46"/>
      <c r="G259" s="22" t="s">
        <v>487</v>
      </c>
    </row>
    <row r="260" spans="1:7" x14ac:dyDescent="0.2">
      <c r="A260" s="46"/>
      <c r="B260" s="46"/>
      <c r="C260" s="46"/>
      <c r="D260" s="46"/>
      <c r="E260" s="46"/>
      <c r="F260" s="46"/>
      <c r="G260" s="22" t="s">
        <v>487</v>
      </c>
    </row>
    <row r="261" spans="1:7" x14ac:dyDescent="0.2">
      <c r="A261" s="46"/>
      <c r="B261" s="46"/>
      <c r="C261" s="46"/>
      <c r="D261" s="46"/>
      <c r="E261" s="46"/>
      <c r="F261" s="46"/>
      <c r="G261" s="22" t="s">
        <v>487</v>
      </c>
    </row>
    <row r="262" spans="1:7" x14ac:dyDescent="0.2">
      <c r="A262" s="46"/>
      <c r="B262" s="46"/>
      <c r="C262" s="46"/>
      <c r="D262" s="46"/>
      <c r="E262" s="46"/>
      <c r="F262" s="46"/>
      <c r="G262" s="22" t="s">
        <v>493</v>
      </c>
    </row>
    <row r="263" spans="1:7" x14ac:dyDescent="0.2">
      <c r="A263" s="46"/>
      <c r="B263" s="46"/>
      <c r="C263" s="46"/>
      <c r="D263" s="46"/>
      <c r="E263" s="46"/>
      <c r="F263" s="46"/>
      <c r="G263" s="22" t="s">
        <v>513</v>
      </c>
    </row>
    <row r="264" spans="1:7" x14ac:dyDescent="0.2">
      <c r="A264" s="46"/>
      <c r="B264" s="46"/>
      <c r="C264" s="46"/>
      <c r="D264" s="46"/>
      <c r="E264" s="46"/>
      <c r="F264" s="46"/>
      <c r="G264" s="22" t="s">
        <v>507</v>
      </c>
    </row>
    <row r="265" spans="1:7" x14ac:dyDescent="0.2">
      <c r="A265" s="46"/>
      <c r="B265" s="46"/>
      <c r="C265" s="46"/>
      <c r="D265" s="46"/>
      <c r="E265" s="46"/>
      <c r="F265" s="46"/>
      <c r="G265" s="22" t="s">
        <v>1188</v>
      </c>
    </row>
    <row r="266" spans="1:7" x14ac:dyDescent="0.2">
      <c r="A266" s="46"/>
      <c r="B266" s="46"/>
      <c r="C266" s="46"/>
      <c r="D266" s="46"/>
      <c r="E266" s="46"/>
      <c r="F266" s="46"/>
      <c r="G266" s="22" t="s">
        <v>493</v>
      </c>
    </row>
    <row r="267" spans="1:7" x14ac:dyDescent="0.2">
      <c r="A267" s="46"/>
      <c r="B267" s="46"/>
      <c r="C267" s="46"/>
      <c r="D267" s="46"/>
      <c r="E267" s="46"/>
      <c r="F267" s="46"/>
      <c r="G267" s="22" t="s">
        <v>513</v>
      </c>
    </row>
    <row r="268" spans="1:7" x14ac:dyDescent="0.2">
      <c r="A268" s="46"/>
      <c r="B268" s="46"/>
      <c r="C268" s="46"/>
      <c r="D268" s="46"/>
      <c r="E268" s="46"/>
      <c r="F268" s="46"/>
      <c r="G268" s="22" t="s">
        <v>507</v>
      </c>
    </row>
    <row r="269" spans="1:7" x14ac:dyDescent="0.2">
      <c r="A269" s="46"/>
      <c r="B269" s="46"/>
      <c r="C269" s="46"/>
      <c r="D269" s="46"/>
      <c r="E269" s="46"/>
      <c r="F269" s="46"/>
      <c r="G269" s="22" t="s">
        <v>1188</v>
      </c>
    </row>
    <row r="270" spans="1:7" x14ac:dyDescent="0.2">
      <c r="A270" s="46"/>
      <c r="B270" s="46"/>
      <c r="C270" s="46"/>
      <c r="D270" s="46"/>
      <c r="E270" s="46"/>
      <c r="F270" s="46"/>
      <c r="G270" s="22" t="s">
        <v>487</v>
      </c>
    </row>
    <row r="271" spans="1:7" x14ac:dyDescent="0.2">
      <c r="A271" s="46"/>
      <c r="B271" s="46"/>
      <c r="C271" s="46"/>
      <c r="D271" s="46"/>
      <c r="E271" s="46"/>
      <c r="F271" s="46"/>
      <c r="G271" s="22" t="s">
        <v>487</v>
      </c>
    </row>
    <row r="272" spans="1:7" x14ac:dyDescent="0.2">
      <c r="A272" s="46"/>
      <c r="B272" s="46"/>
      <c r="C272" s="46"/>
      <c r="D272" s="46"/>
      <c r="E272" s="46"/>
      <c r="F272" s="46"/>
      <c r="G272" s="22" t="s">
        <v>487</v>
      </c>
    </row>
    <row r="273" spans="1:7" x14ac:dyDescent="0.2">
      <c r="A273" s="46"/>
      <c r="B273" s="46"/>
      <c r="C273" s="46"/>
      <c r="D273" s="46"/>
      <c r="E273" s="46"/>
      <c r="F273" s="46"/>
      <c r="G273" s="22" t="s">
        <v>1213</v>
      </c>
    </row>
    <row r="274" spans="1:7" x14ac:dyDescent="0.2">
      <c r="A274" s="46"/>
      <c r="B274" s="46"/>
      <c r="C274" s="46"/>
      <c r="D274" s="46"/>
      <c r="E274" s="46"/>
      <c r="F274" s="46"/>
      <c r="G274" s="22" t="s">
        <v>493</v>
      </c>
    </row>
    <row r="275" spans="1:7" x14ac:dyDescent="0.2">
      <c r="A275" s="46"/>
      <c r="B275" s="46"/>
      <c r="C275" s="46"/>
      <c r="D275" s="46"/>
      <c r="E275" s="46"/>
      <c r="F275" s="46"/>
      <c r="G275" s="22" t="s">
        <v>513</v>
      </c>
    </row>
    <row r="276" spans="1:7" x14ac:dyDescent="0.2">
      <c r="A276" s="46"/>
      <c r="B276" s="46"/>
      <c r="C276" s="46"/>
      <c r="D276" s="46"/>
      <c r="E276" s="46"/>
      <c r="F276" s="46"/>
      <c r="G276" s="22" t="s">
        <v>507</v>
      </c>
    </row>
    <row r="277" spans="1:7" x14ac:dyDescent="0.2">
      <c r="A277" s="46"/>
      <c r="B277" s="46"/>
      <c r="C277" s="46"/>
      <c r="D277" s="46"/>
      <c r="E277" s="46"/>
      <c r="F277" s="46"/>
      <c r="G277" s="22" t="s">
        <v>1188</v>
      </c>
    </row>
    <row r="278" spans="1:7" x14ac:dyDescent="0.2">
      <c r="A278" s="46"/>
      <c r="B278" s="46"/>
      <c r="C278" s="46"/>
      <c r="D278" s="46"/>
      <c r="E278" s="46"/>
      <c r="F278" s="46"/>
      <c r="G278" s="22" t="s">
        <v>493</v>
      </c>
    </row>
    <row r="279" spans="1:7" x14ac:dyDescent="0.2">
      <c r="A279" s="46"/>
      <c r="B279" s="46"/>
      <c r="C279" s="46"/>
      <c r="D279" s="46"/>
      <c r="E279" s="46"/>
      <c r="F279" s="46"/>
      <c r="G279" s="22" t="s">
        <v>507</v>
      </c>
    </row>
    <row r="280" spans="1:7" x14ac:dyDescent="0.2">
      <c r="A280" s="46"/>
      <c r="B280" s="46"/>
      <c r="C280" s="46"/>
      <c r="D280" s="46"/>
      <c r="E280" s="46"/>
      <c r="F280" s="46"/>
      <c r="G280" s="22" t="s">
        <v>493</v>
      </c>
    </row>
    <row r="281" spans="1:7" x14ac:dyDescent="0.2">
      <c r="A281" s="46"/>
      <c r="B281" s="46"/>
      <c r="C281" s="46"/>
      <c r="D281" s="46"/>
      <c r="E281" s="46"/>
      <c r="F281" s="46"/>
      <c r="G281" s="22" t="s">
        <v>507</v>
      </c>
    </row>
    <row r="282" spans="1:7" x14ac:dyDescent="0.2">
      <c r="A282" s="46"/>
      <c r="B282" s="46"/>
      <c r="C282" s="46"/>
      <c r="D282" s="46"/>
      <c r="E282" s="46"/>
      <c r="F282" s="46"/>
      <c r="G282" s="22" t="s">
        <v>493</v>
      </c>
    </row>
    <row r="283" spans="1:7" x14ac:dyDescent="0.2">
      <c r="A283" s="46"/>
      <c r="B283" s="46"/>
      <c r="C283" s="46"/>
      <c r="D283" s="46"/>
      <c r="E283" s="46"/>
      <c r="F283" s="46"/>
      <c r="G283" s="22" t="s">
        <v>507</v>
      </c>
    </row>
    <row r="284" spans="1:7" x14ac:dyDescent="0.2">
      <c r="A284" s="46"/>
      <c r="B284" s="46"/>
      <c r="C284" s="46"/>
      <c r="D284" s="46"/>
      <c r="E284" s="46"/>
      <c r="F284" s="46"/>
      <c r="G284" s="22" t="s">
        <v>493</v>
      </c>
    </row>
    <row r="285" spans="1:7" x14ac:dyDescent="0.2">
      <c r="A285" s="46"/>
      <c r="B285" s="46"/>
      <c r="C285" s="46"/>
      <c r="D285" s="46"/>
      <c r="E285" s="46"/>
      <c r="F285" s="46"/>
      <c r="G285" s="22" t="s">
        <v>507</v>
      </c>
    </row>
    <row r="286" spans="1:7" x14ac:dyDescent="0.2">
      <c r="A286" s="46"/>
      <c r="B286" s="46"/>
      <c r="C286" s="46"/>
      <c r="D286" s="46"/>
      <c r="E286" s="46"/>
      <c r="F286" s="46"/>
      <c r="G286" s="22" t="s">
        <v>487</v>
      </c>
    </row>
    <row r="287" spans="1:7" x14ac:dyDescent="0.2">
      <c r="A287" s="46"/>
      <c r="B287" s="46"/>
      <c r="C287" s="46"/>
      <c r="D287" s="46"/>
      <c r="E287" s="46"/>
      <c r="F287" s="46"/>
      <c r="G287" s="22" t="s">
        <v>487</v>
      </c>
    </row>
    <row r="288" spans="1:7" x14ac:dyDescent="0.2">
      <c r="A288" s="46"/>
      <c r="B288" s="46"/>
      <c r="C288" s="46"/>
      <c r="D288" s="46"/>
      <c r="E288" s="46"/>
      <c r="F288" s="46"/>
      <c r="G288" s="22" t="s">
        <v>526</v>
      </c>
    </row>
    <row r="289" spans="1:7" x14ac:dyDescent="0.2">
      <c r="A289" s="46"/>
      <c r="B289" s="46"/>
      <c r="C289" s="46"/>
      <c r="D289" s="46"/>
      <c r="E289" s="46"/>
      <c r="F289" s="46"/>
      <c r="G289" s="22" t="s">
        <v>493</v>
      </c>
    </row>
    <row r="290" spans="1:7" x14ac:dyDescent="0.2">
      <c r="A290" s="46"/>
      <c r="B290" s="46"/>
      <c r="C290" s="46"/>
      <c r="D290" s="46"/>
      <c r="E290" s="46"/>
      <c r="F290" s="46"/>
      <c r="G290" s="22" t="s">
        <v>507</v>
      </c>
    </row>
    <row r="291" spans="1:7" x14ac:dyDescent="0.2">
      <c r="A291" s="46"/>
      <c r="B291" s="46"/>
      <c r="C291" s="46"/>
      <c r="D291" s="46"/>
      <c r="E291" s="46"/>
      <c r="F291" s="46"/>
      <c r="G291" s="22" t="s">
        <v>493</v>
      </c>
    </row>
    <row r="292" spans="1:7" x14ac:dyDescent="0.2">
      <c r="A292" s="46"/>
      <c r="B292" s="46"/>
      <c r="C292" s="46"/>
      <c r="D292" s="46"/>
      <c r="E292" s="46"/>
      <c r="F292" s="46"/>
      <c r="G292" s="22" t="s">
        <v>507</v>
      </c>
    </row>
    <row r="293" spans="1:7" x14ac:dyDescent="0.2">
      <c r="A293" s="46"/>
      <c r="B293" s="46"/>
      <c r="C293" s="46"/>
      <c r="D293" s="46"/>
      <c r="E293" s="46"/>
      <c r="F293" s="46"/>
      <c r="G293" s="22" t="s">
        <v>493</v>
      </c>
    </row>
    <row r="294" spans="1:7" x14ac:dyDescent="0.2">
      <c r="A294" s="46"/>
      <c r="B294" s="46"/>
      <c r="C294" s="46"/>
      <c r="D294" s="46"/>
      <c r="E294" s="46"/>
      <c r="F294" s="46"/>
      <c r="G294" s="22" t="s">
        <v>513</v>
      </c>
    </row>
    <row r="295" spans="1:7" x14ac:dyDescent="0.2">
      <c r="A295" s="46"/>
      <c r="B295" s="46"/>
      <c r="C295" s="46"/>
      <c r="D295" s="46"/>
      <c r="E295" s="46"/>
      <c r="F295" s="46"/>
      <c r="G295" s="22" t="s">
        <v>507</v>
      </c>
    </row>
    <row r="296" spans="1:7" x14ac:dyDescent="0.2">
      <c r="A296" s="46"/>
      <c r="B296" s="46"/>
      <c r="C296" s="46"/>
      <c r="D296" s="46"/>
      <c r="E296" s="46"/>
      <c r="F296" s="46"/>
      <c r="G296" s="22" t="s">
        <v>1188</v>
      </c>
    </row>
    <row r="297" spans="1:7" x14ac:dyDescent="0.2">
      <c r="A297" s="46"/>
      <c r="B297" s="46"/>
      <c r="C297" s="46"/>
      <c r="D297" s="46"/>
      <c r="E297" s="46"/>
      <c r="F297" s="46"/>
      <c r="G297" s="22" t="s">
        <v>493</v>
      </c>
    </row>
    <row r="298" spans="1:7" x14ac:dyDescent="0.2">
      <c r="A298" s="46"/>
      <c r="B298" s="46"/>
      <c r="C298" s="46"/>
      <c r="D298" s="46"/>
      <c r="E298" s="46"/>
      <c r="F298" s="46"/>
      <c r="G298" s="22" t="s">
        <v>507</v>
      </c>
    </row>
    <row r="299" spans="1:7" x14ac:dyDescent="0.2">
      <c r="A299" s="46"/>
      <c r="B299" s="46"/>
      <c r="C299" s="46"/>
      <c r="D299" s="46"/>
      <c r="E299" s="46"/>
      <c r="F299" s="46"/>
      <c r="G299" s="22" t="s">
        <v>1181</v>
      </c>
    </row>
    <row r="300" spans="1:7" x14ac:dyDescent="0.2">
      <c r="A300" s="46"/>
      <c r="B300" s="46"/>
      <c r="C300" s="46"/>
      <c r="D300" s="46"/>
      <c r="E300" s="46"/>
      <c r="F300" s="46"/>
      <c r="G300" s="22" t="s">
        <v>1181</v>
      </c>
    </row>
    <row r="301" spans="1:7" x14ac:dyDescent="0.2">
      <c r="A301" s="46"/>
      <c r="B301" s="46"/>
      <c r="C301" s="46"/>
      <c r="D301" s="46"/>
      <c r="E301" s="46"/>
      <c r="F301" s="46"/>
      <c r="G301" s="22" t="s">
        <v>1181</v>
      </c>
    </row>
    <row r="302" spans="1:7" x14ac:dyDescent="0.2">
      <c r="A302" s="46"/>
      <c r="B302" s="46"/>
      <c r="C302" s="46"/>
      <c r="D302" s="46"/>
      <c r="E302" s="46"/>
      <c r="F302" s="46"/>
      <c r="G302" s="22" t="s">
        <v>493</v>
      </c>
    </row>
    <row r="303" spans="1:7" x14ac:dyDescent="0.2">
      <c r="A303" s="46"/>
      <c r="B303" s="46"/>
      <c r="C303" s="46"/>
      <c r="D303" s="46"/>
      <c r="E303" s="46"/>
      <c r="F303" s="46"/>
      <c r="G303" s="22" t="s">
        <v>513</v>
      </c>
    </row>
    <row r="304" spans="1:7" x14ac:dyDescent="0.2">
      <c r="A304" s="46"/>
      <c r="B304" s="46"/>
      <c r="C304" s="46"/>
      <c r="D304" s="46"/>
      <c r="E304" s="46"/>
      <c r="F304" s="46"/>
      <c r="G304" s="22" t="s">
        <v>507</v>
      </c>
    </row>
    <row r="305" spans="1:7" x14ac:dyDescent="0.2">
      <c r="A305" s="46"/>
      <c r="B305" s="46"/>
      <c r="C305" s="46"/>
      <c r="D305" s="46"/>
      <c r="E305" s="46"/>
      <c r="F305" s="46"/>
      <c r="G305" s="22" t="s">
        <v>1188</v>
      </c>
    </row>
    <row r="306" spans="1:7" x14ac:dyDescent="0.2">
      <c r="A306" s="46"/>
      <c r="B306" s="46"/>
      <c r="C306" s="46"/>
      <c r="D306" s="46"/>
      <c r="E306" s="46"/>
      <c r="F306" s="46"/>
      <c r="G306" s="22" t="s">
        <v>493</v>
      </c>
    </row>
    <row r="307" spans="1:7" x14ac:dyDescent="0.2">
      <c r="A307" s="46"/>
      <c r="B307" s="46"/>
      <c r="C307" s="46"/>
      <c r="D307" s="46"/>
      <c r="E307" s="46"/>
      <c r="F307" s="46"/>
      <c r="G307" s="22" t="s">
        <v>513</v>
      </c>
    </row>
    <row r="308" spans="1:7" x14ac:dyDescent="0.2">
      <c r="A308" s="46"/>
      <c r="B308" s="46"/>
      <c r="C308" s="46"/>
      <c r="D308" s="46"/>
      <c r="E308" s="46"/>
      <c r="F308" s="46"/>
      <c r="G308" s="22" t="s">
        <v>507</v>
      </c>
    </row>
    <row r="309" spans="1:7" x14ac:dyDescent="0.2">
      <c r="A309" s="46"/>
      <c r="B309" s="46"/>
      <c r="C309" s="46"/>
      <c r="D309" s="46"/>
      <c r="E309" s="46"/>
      <c r="F309" s="46"/>
      <c r="G309" s="22" t="s">
        <v>1188</v>
      </c>
    </row>
    <row r="310" spans="1:7" x14ac:dyDescent="0.2">
      <c r="A310" s="46"/>
      <c r="B310" s="46"/>
      <c r="C310" s="46"/>
      <c r="D310" s="46"/>
      <c r="E310" s="46"/>
      <c r="F310" s="46"/>
      <c r="G310" s="22" t="s">
        <v>507</v>
      </c>
    </row>
    <row r="311" spans="1:7" x14ac:dyDescent="0.2">
      <c r="A311" s="46"/>
      <c r="B311" s="46"/>
      <c r="C311" s="46"/>
      <c r="D311" s="46"/>
      <c r="E311" s="46"/>
      <c r="F311" s="46"/>
      <c r="G311" s="22" t="s">
        <v>1188</v>
      </c>
    </row>
    <row r="312" spans="1:7" x14ac:dyDescent="0.2">
      <c r="A312" s="46"/>
      <c r="B312" s="46"/>
      <c r="C312" s="46"/>
      <c r="D312" s="46"/>
      <c r="E312" s="46"/>
      <c r="F312" s="46"/>
      <c r="G312" s="22" t="s">
        <v>507</v>
      </c>
    </row>
    <row r="313" spans="1:7" x14ac:dyDescent="0.2">
      <c r="A313" s="46"/>
      <c r="B313" s="46"/>
      <c r="C313" s="46"/>
      <c r="D313" s="46"/>
      <c r="E313" s="46"/>
      <c r="F313" s="46"/>
      <c r="G313" s="22" t="s">
        <v>1188</v>
      </c>
    </row>
    <row r="314" spans="1:7" x14ac:dyDescent="0.2">
      <c r="A314" s="46"/>
      <c r="B314" s="46"/>
      <c r="C314" s="46"/>
      <c r="D314" s="46"/>
      <c r="E314" s="46"/>
      <c r="F314" s="46"/>
      <c r="G314" s="22" t="s">
        <v>493</v>
      </c>
    </row>
    <row r="315" spans="1:7" x14ac:dyDescent="0.2">
      <c r="A315" s="46"/>
      <c r="B315" s="46"/>
      <c r="C315" s="46"/>
      <c r="D315" s="46"/>
      <c r="E315" s="46"/>
      <c r="F315" s="46"/>
      <c r="G315" s="22" t="s">
        <v>507</v>
      </c>
    </row>
    <row r="316" spans="1:7" x14ac:dyDescent="0.2">
      <c r="A316" s="46"/>
      <c r="B316" s="46"/>
      <c r="C316" s="46"/>
      <c r="D316" s="46"/>
      <c r="E316" s="46"/>
      <c r="F316" s="46"/>
      <c r="G316" s="22" t="s">
        <v>493</v>
      </c>
    </row>
    <row r="317" spans="1:7" x14ac:dyDescent="0.2">
      <c r="A317" s="46"/>
      <c r="B317" s="46"/>
      <c r="C317" s="46"/>
      <c r="D317" s="46"/>
      <c r="E317" s="46"/>
      <c r="F317" s="46"/>
      <c r="G317" s="22" t="s">
        <v>507</v>
      </c>
    </row>
  </sheetData>
  <autoFilter ref="A2:H248">
    <filterColumn colId="0">
      <filters>
        <filter val="Card-based payment instrument"/>
        <filter val="Card-based payment transactions with card-based payment instruments issued by resident PSP (except cards with an e-money function only)"/>
        <filter val="Cash withdrawals using card-based payment instruments (except e-money transactions)"/>
      </filters>
    </filterColumn>
  </autoFilter>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G41"/>
  <sheetViews>
    <sheetView workbookViewId="0">
      <selection activeCell="A4" sqref="A4"/>
    </sheetView>
  </sheetViews>
  <sheetFormatPr defaultRowHeight="14.25" x14ac:dyDescent="0.2"/>
  <cols>
    <col min="5" max="5" width="50.125" customWidth="1"/>
    <col min="6" max="6" width="34.125" customWidth="1"/>
    <col min="7" max="7" width="12.625" customWidth="1"/>
  </cols>
  <sheetData>
    <row r="1" spans="1:7" x14ac:dyDescent="0.2">
      <c r="A1" s="36" t="str">
        <f ca="1">HYPERLINK("#" &amp; CELL("address",INDEX!$A$1), "Go back to INDEX")</f>
        <v>Go back to INDEX</v>
      </c>
    </row>
    <row r="2" spans="1:7" ht="20.25" x14ac:dyDescent="0.2">
      <c r="A2" s="34" t="s">
        <v>1141</v>
      </c>
    </row>
    <row r="3" spans="1:7" x14ac:dyDescent="0.2">
      <c r="A3" t="s">
        <v>2446</v>
      </c>
    </row>
    <row r="4" spans="1:7" x14ac:dyDescent="0.2">
      <c r="A4" t="s">
        <v>2445</v>
      </c>
    </row>
    <row r="5" spans="1:7" x14ac:dyDescent="0.2">
      <c r="A5" t="s">
        <v>1142</v>
      </c>
    </row>
    <row r="7" spans="1:7" ht="15" thickBot="1" x14ac:dyDescent="0.25"/>
    <row r="8" spans="1:7" ht="18" x14ac:dyDescent="0.2">
      <c r="A8" s="105" t="s">
        <v>1150</v>
      </c>
      <c r="B8" s="106"/>
      <c r="C8" s="106"/>
      <c r="D8" s="106"/>
      <c r="E8" s="107"/>
      <c r="F8" s="119" t="s">
        <v>1140</v>
      </c>
      <c r="G8" s="120"/>
    </row>
    <row r="9" spans="1:7" ht="15" x14ac:dyDescent="0.2">
      <c r="A9" s="108" t="s">
        <v>1107</v>
      </c>
      <c r="B9" s="102" t="s">
        <v>1108</v>
      </c>
      <c r="C9" s="102" t="s">
        <v>1109</v>
      </c>
      <c r="D9" s="97" t="s">
        <v>1110</v>
      </c>
      <c r="E9" s="109" t="s">
        <v>1111</v>
      </c>
      <c r="F9" s="121" t="s">
        <v>906</v>
      </c>
      <c r="G9" s="122" t="s">
        <v>1105</v>
      </c>
    </row>
    <row r="10" spans="1:7" ht="14.25" customHeight="1" x14ac:dyDescent="0.2">
      <c r="A10" s="110">
        <v>10000</v>
      </c>
      <c r="B10" s="103"/>
      <c r="C10" s="103"/>
      <c r="D10" s="104"/>
      <c r="E10" s="111" t="s">
        <v>1112</v>
      </c>
      <c r="F10" s="123" t="s">
        <v>351</v>
      </c>
      <c r="G10" s="124" t="s">
        <v>472</v>
      </c>
    </row>
    <row r="11" spans="1:7" ht="14.25" customHeight="1" x14ac:dyDescent="0.2">
      <c r="A11" s="112"/>
      <c r="B11" s="101">
        <v>11000</v>
      </c>
      <c r="C11" s="99"/>
      <c r="D11" s="100"/>
      <c r="E11" s="113" t="s">
        <v>1113</v>
      </c>
      <c r="F11" s="125" t="s">
        <v>351</v>
      </c>
      <c r="G11" s="126" t="s">
        <v>472</v>
      </c>
    </row>
    <row r="12" spans="1:7" ht="14.25" customHeight="1" x14ac:dyDescent="0.2">
      <c r="A12" s="112"/>
      <c r="B12" s="101">
        <v>12000</v>
      </c>
      <c r="C12" s="99"/>
      <c r="D12" s="100"/>
      <c r="E12" s="113" t="s">
        <v>1114</v>
      </c>
      <c r="F12" s="125" t="s">
        <v>351</v>
      </c>
      <c r="G12" s="126" t="s">
        <v>472</v>
      </c>
    </row>
    <row r="13" spans="1:7" ht="14.25" customHeight="1" x14ac:dyDescent="0.2">
      <c r="A13" s="112"/>
      <c r="B13" s="99"/>
      <c r="C13" s="101">
        <v>12100</v>
      </c>
      <c r="D13" s="100"/>
      <c r="E13" s="113" t="s">
        <v>1115</v>
      </c>
      <c r="F13" s="125" t="s">
        <v>351</v>
      </c>
      <c r="G13" s="126" t="s">
        <v>472</v>
      </c>
    </row>
    <row r="14" spans="1:7" ht="14.25" customHeight="1" x14ac:dyDescent="0.2">
      <c r="A14" s="112"/>
      <c r="B14" s="99"/>
      <c r="C14" s="101">
        <v>12200</v>
      </c>
      <c r="D14" s="100"/>
      <c r="E14" s="113" t="s">
        <v>1116</v>
      </c>
      <c r="F14" s="125" t="s">
        <v>351</v>
      </c>
      <c r="G14" s="126" t="s">
        <v>472</v>
      </c>
    </row>
    <row r="15" spans="1:7" ht="14.25" customHeight="1" x14ac:dyDescent="0.2">
      <c r="A15" s="112"/>
      <c r="B15" s="99"/>
      <c r="C15" s="101">
        <v>12300</v>
      </c>
      <c r="D15" s="100"/>
      <c r="E15" s="113" t="s">
        <v>1117</v>
      </c>
      <c r="F15" s="125" t="s">
        <v>351</v>
      </c>
      <c r="G15" s="126" t="s">
        <v>472</v>
      </c>
    </row>
    <row r="16" spans="1:7" ht="14.25" customHeight="1" x14ac:dyDescent="0.2">
      <c r="A16" s="110">
        <v>20000</v>
      </c>
      <c r="B16" s="103"/>
      <c r="C16" s="103"/>
      <c r="D16" s="104"/>
      <c r="E16" s="111" t="s">
        <v>1118</v>
      </c>
      <c r="F16" s="123" t="s">
        <v>1145</v>
      </c>
      <c r="G16" s="124"/>
    </row>
    <row r="17" spans="1:7" ht="14.25" customHeight="1" x14ac:dyDescent="0.2">
      <c r="A17" s="112"/>
      <c r="B17" s="101">
        <v>21000</v>
      </c>
      <c r="C17" s="99"/>
      <c r="D17" s="100"/>
      <c r="E17" s="113" t="s">
        <v>1119</v>
      </c>
      <c r="F17" s="125" t="s">
        <v>1002</v>
      </c>
      <c r="G17" s="126" t="s">
        <v>739</v>
      </c>
    </row>
    <row r="18" spans="1:7" ht="14.25" customHeight="1" x14ac:dyDescent="0.2">
      <c r="A18" s="112"/>
      <c r="B18" s="101">
        <v>22000</v>
      </c>
      <c r="C18" s="99"/>
      <c r="D18" s="100"/>
      <c r="E18" s="113" t="s">
        <v>1120</v>
      </c>
      <c r="F18" s="125" t="s">
        <v>1001</v>
      </c>
      <c r="G18" s="126" t="s">
        <v>738</v>
      </c>
    </row>
    <row r="19" spans="1:7" ht="14.25" customHeight="1" x14ac:dyDescent="0.2">
      <c r="A19" s="112"/>
      <c r="B19" s="99"/>
      <c r="C19" s="101">
        <v>22100</v>
      </c>
      <c r="D19" s="100"/>
      <c r="E19" s="113" t="s">
        <v>1121</v>
      </c>
      <c r="F19" s="125" t="s">
        <v>1001</v>
      </c>
      <c r="G19" s="126" t="s">
        <v>738</v>
      </c>
    </row>
    <row r="20" spans="1:7" ht="14.25" customHeight="1" x14ac:dyDescent="0.2">
      <c r="A20" s="112"/>
      <c r="B20" s="99"/>
      <c r="C20" s="99"/>
      <c r="D20" s="98">
        <v>22110</v>
      </c>
      <c r="E20" s="113" t="s">
        <v>1122</v>
      </c>
      <c r="F20" s="125" t="s">
        <v>1001</v>
      </c>
      <c r="G20" s="126" t="s">
        <v>738</v>
      </c>
    </row>
    <row r="21" spans="1:7" ht="14.25" customHeight="1" x14ac:dyDescent="0.2">
      <c r="A21" s="112"/>
      <c r="B21" s="99"/>
      <c r="C21" s="99"/>
      <c r="D21" s="98">
        <v>22120</v>
      </c>
      <c r="E21" s="113" t="s">
        <v>1123</v>
      </c>
      <c r="F21" s="125" t="s">
        <v>1001</v>
      </c>
      <c r="G21" s="126" t="s">
        <v>738</v>
      </c>
    </row>
    <row r="22" spans="1:7" ht="14.25" customHeight="1" x14ac:dyDescent="0.2">
      <c r="A22" s="112"/>
      <c r="B22" s="99"/>
      <c r="C22" s="101">
        <v>22200</v>
      </c>
      <c r="D22" s="100"/>
      <c r="E22" s="113" t="s">
        <v>1124</v>
      </c>
      <c r="F22" s="125" t="s">
        <v>1001</v>
      </c>
      <c r="G22" s="126" t="s">
        <v>738</v>
      </c>
    </row>
    <row r="23" spans="1:7" ht="14.25" customHeight="1" x14ac:dyDescent="0.2">
      <c r="A23" s="110">
        <v>30000</v>
      </c>
      <c r="B23" s="103"/>
      <c r="C23" s="103"/>
      <c r="D23" s="104"/>
      <c r="E23" s="111" t="s">
        <v>1125</v>
      </c>
      <c r="F23" s="123" t="s">
        <v>1146</v>
      </c>
      <c r="G23" s="124"/>
    </row>
    <row r="24" spans="1:7" ht="14.25" customHeight="1" x14ac:dyDescent="0.2">
      <c r="A24" s="112"/>
      <c r="B24" s="101">
        <v>31000</v>
      </c>
      <c r="C24" s="99"/>
      <c r="D24" s="100"/>
      <c r="E24" s="113" t="s">
        <v>1126</v>
      </c>
      <c r="F24" s="125" t="s">
        <v>354</v>
      </c>
      <c r="G24" s="126" t="s">
        <v>470</v>
      </c>
    </row>
    <row r="25" spans="1:7" ht="14.25" customHeight="1" x14ac:dyDescent="0.2">
      <c r="A25" s="112"/>
      <c r="B25" s="101">
        <v>32000</v>
      </c>
      <c r="C25" s="99"/>
      <c r="D25" s="100"/>
      <c r="E25" s="113" t="s">
        <v>1127</v>
      </c>
      <c r="F25" s="125" t="s">
        <v>487</v>
      </c>
      <c r="G25" s="126" t="s">
        <v>487</v>
      </c>
    </row>
    <row r="26" spans="1:7" ht="14.25" customHeight="1" x14ac:dyDescent="0.2">
      <c r="A26" s="112"/>
      <c r="B26" s="99"/>
      <c r="C26" s="101">
        <v>32100</v>
      </c>
      <c r="D26" s="100"/>
      <c r="E26" s="113" t="s">
        <v>1128</v>
      </c>
      <c r="F26" s="125" t="s">
        <v>996</v>
      </c>
      <c r="G26" s="126" t="s">
        <v>356</v>
      </c>
    </row>
    <row r="27" spans="1:7" ht="14.25" customHeight="1" x14ac:dyDescent="0.2">
      <c r="A27" s="112"/>
      <c r="B27" s="99"/>
      <c r="C27" s="101">
        <v>32200</v>
      </c>
      <c r="D27" s="100"/>
      <c r="E27" s="113" t="s">
        <v>1129</v>
      </c>
      <c r="F27" s="125" t="s">
        <v>1147</v>
      </c>
      <c r="G27" s="126" t="s">
        <v>1148</v>
      </c>
    </row>
    <row r="28" spans="1:7" ht="14.25" customHeight="1" x14ac:dyDescent="0.2">
      <c r="A28" s="112"/>
      <c r="B28" s="101">
        <v>33000</v>
      </c>
      <c r="C28" s="99"/>
      <c r="D28" s="100"/>
      <c r="E28" s="113" t="s">
        <v>1130</v>
      </c>
      <c r="F28" s="125" t="s">
        <v>997</v>
      </c>
      <c r="G28" s="126" t="s">
        <v>357</v>
      </c>
    </row>
    <row r="29" spans="1:7" ht="14.25" customHeight="1" x14ac:dyDescent="0.2">
      <c r="A29" s="110">
        <v>40000</v>
      </c>
      <c r="B29" s="103"/>
      <c r="C29" s="103"/>
      <c r="D29" s="104"/>
      <c r="E29" s="111" t="s">
        <v>1131</v>
      </c>
      <c r="F29" s="123" t="s">
        <v>1145</v>
      </c>
      <c r="G29" s="124"/>
    </row>
    <row r="30" spans="1:7" ht="14.25" customHeight="1" x14ac:dyDescent="0.2">
      <c r="A30" s="112"/>
      <c r="B30" s="101">
        <v>41000</v>
      </c>
      <c r="C30" s="99"/>
      <c r="D30" s="100"/>
      <c r="E30" s="113" t="s">
        <v>1132</v>
      </c>
      <c r="F30" s="125" t="s">
        <v>999</v>
      </c>
      <c r="G30" s="126" t="s">
        <v>352</v>
      </c>
    </row>
    <row r="31" spans="1:7" ht="14.25" customHeight="1" x14ac:dyDescent="0.2">
      <c r="A31" s="112"/>
      <c r="B31" s="101">
        <v>42000</v>
      </c>
      <c r="C31" s="99"/>
      <c r="D31" s="100"/>
      <c r="E31" s="113" t="s">
        <v>1133</v>
      </c>
      <c r="F31" s="125" t="s">
        <v>351</v>
      </c>
      <c r="G31" s="126" t="s">
        <v>472</v>
      </c>
    </row>
    <row r="32" spans="1:7" ht="14.25" customHeight="1" x14ac:dyDescent="0.2">
      <c r="A32" s="112"/>
      <c r="B32" s="99"/>
      <c r="C32" s="101">
        <v>42100</v>
      </c>
      <c r="D32" s="100"/>
      <c r="E32" s="113" t="s">
        <v>1134</v>
      </c>
      <c r="F32" s="125" t="s">
        <v>351</v>
      </c>
      <c r="G32" s="126" t="s">
        <v>472</v>
      </c>
    </row>
    <row r="33" spans="1:7" ht="14.25" customHeight="1" x14ac:dyDescent="0.2">
      <c r="A33" s="112"/>
      <c r="B33" s="99"/>
      <c r="C33" s="101">
        <v>42200</v>
      </c>
      <c r="D33" s="100"/>
      <c r="E33" s="113" t="s">
        <v>1135</v>
      </c>
      <c r="F33" s="125" t="s">
        <v>351</v>
      </c>
      <c r="G33" s="126" t="s">
        <v>472</v>
      </c>
    </row>
    <row r="34" spans="1:7" ht="14.25" customHeight="1" x14ac:dyDescent="0.2">
      <c r="A34" s="112"/>
      <c r="B34" s="99"/>
      <c r="C34" s="101">
        <v>42900</v>
      </c>
      <c r="D34" s="100"/>
      <c r="E34" s="113" t="s">
        <v>1133</v>
      </c>
      <c r="F34" s="125" t="s">
        <v>351</v>
      </c>
      <c r="G34" s="126" t="s">
        <v>472</v>
      </c>
    </row>
    <row r="35" spans="1:7" ht="14.25" customHeight="1" x14ac:dyDescent="0.2">
      <c r="A35" s="112"/>
      <c r="B35" s="101">
        <v>43000</v>
      </c>
      <c r="C35" s="99"/>
      <c r="D35" s="100"/>
      <c r="E35" s="114" t="s">
        <v>1144</v>
      </c>
      <c r="F35" s="125" t="s">
        <v>1904</v>
      </c>
      <c r="G35" s="126" t="s">
        <v>1149</v>
      </c>
    </row>
    <row r="36" spans="1:7" ht="14.25" customHeight="1" x14ac:dyDescent="0.2">
      <c r="A36" s="112"/>
      <c r="B36" s="101">
        <v>44000</v>
      </c>
      <c r="C36" s="99"/>
      <c r="D36" s="100"/>
      <c r="E36" s="113" t="s">
        <v>1136</v>
      </c>
      <c r="F36" s="125" t="s">
        <v>351</v>
      </c>
      <c r="G36" s="126" t="s">
        <v>472</v>
      </c>
    </row>
    <row r="37" spans="1:7" ht="14.25" customHeight="1" x14ac:dyDescent="0.2">
      <c r="A37" s="112"/>
      <c r="B37" s="101">
        <v>45000</v>
      </c>
      <c r="C37" s="99"/>
      <c r="D37" s="100"/>
      <c r="E37" s="113" t="s">
        <v>1137</v>
      </c>
      <c r="F37" s="125" t="s">
        <v>351</v>
      </c>
      <c r="G37" s="126" t="s">
        <v>472</v>
      </c>
    </row>
    <row r="38" spans="1:7" ht="14.25" customHeight="1" x14ac:dyDescent="0.2">
      <c r="A38" s="112"/>
      <c r="B38" s="101">
        <v>46000</v>
      </c>
      <c r="C38" s="99"/>
      <c r="D38" s="100"/>
      <c r="E38" s="113" t="s">
        <v>1138</v>
      </c>
      <c r="F38" s="125" t="s">
        <v>351</v>
      </c>
      <c r="G38" s="126" t="s">
        <v>472</v>
      </c>
    </row>
    <row r="39" spans="1:7" ht="14.25" customHeight="1" thickBot="1" x14ac:dyDescent="0.25">
      <c r="A39" s="115">
        <v>90000</v>
      </c>
      <c r="B39" s="116"/>
      <c r="C39" s="116"/>
      <c r="D39" s="117"/>
      <c r="E39" s="118" t="s">
        <v>1139</v>
      </c>
      <c r="F39" s="127" t="s">
        <v>487</v>
      </c>
      <c r="G39" s="128" t="s">
        <v>487</v>
      </c>
    </row>
    <row r="41" spans="1:7" x14ac:dyDescent="0.2">
      <c r="A41" t="s">
        <v>2451</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345"/>
  <sheetViews>
    <sheetView workbookViewId="0"/>
  </sheetViews>
  <sheetFormatPr defaultRowHeight="14.25" x14ac:dyDescent="0.2"/>
  <cols>
    <col min="2" max="2" width="136.25" bestFit="1" customWidth="1"/>
    <col min="3" max="3" width="22.875" customWidth="1"/>
  </cols>
  <sheetData>
    <row r="1" spans="1:3" x14ac:dyDescent="0.2">
      <c r="A1" s="36" t="str">
        <f ca="1">HYPERLINK("#" &amp; CELL("address",INDEX!$A$1), "Go back to INDEX")</f>
        <v>Go back to INDEX</v>
      </c>
    </row>
    <row r="2" spans="1:3" ht="20.25" x14ac:dyDescent="0.2">
      <c r="A2" s="34" t="s">
        <v>1996</v>
      </c>
    </row>
    <row r="3" spans="1:3" x14ac:dyDescent="0.2">
      <c r="A3" t="s">
        <v>2342</v>
      </c>
    </row>
    <row r="4" spans="1:3" x14ac:dyDescent="0.2">
      <c r="A4" t="s">
        <v>2420</v>
      </c>
    </row>
    <row r="5" spans="1:3" x14ac:dyDescent="0.2">
      <c r="A5" t="s">
        <v>2339</v>
      </c>
    </row>
    <row r="6" spans="1:3" x14ac:dyDescent="0.2">
      <c r="A6" t="s">
        <v>2340</v>
      </c>
    </row>
    <row r="7" spans="1:3" x14ac:dyDescent="0.2">
      <c r="A7" t="s">
        <v>2341</v>
      </c>
    </row>
    <row r="9" spans="1:3" x14ac:dyDescent="0.2">
      <c r="A9" s="219" t="s">
        <v>1105</v>
      </c>
      <c r="B9" s="219" t="s">
        <v>0</v>
      </c>
      <c r="C9" s="219" t="s">
        <v>2592</v>
      </c>
    </row>
    <row r="10" spans="1:3" ht="15" x14ac:dyDescent="0.2">
      <c r="A10" s="49" t="s">
        <v>1997</v>
      </c>
      <c r="B10" s="219" t="s">
        <v>1998</v>
      </c>
    </row>
    <row r="11" spans="1:3" ht="15" x14ac:dyDescent="0.2">
      <c r="A11" s="49" t="s">
        <v>1999</v>
      </c>
      <c r="B11" s="219" t="s">
        <v>2000</v>
      </c>
    </row>
    <row r="12" spans="1:3" ht="15" x14ac:dyDescent="0.2">
      <c r="A12" s="49" t="s">
        <v>2001</v>
      </c>
      <c r="B12" s="219" t="s">
        <v>2002</v>
      </c>
    </row>
    <row r="13" spans="1:3" ht="15" x14ac:dyDescent="0.2">
      <c r="A13" s="49" t="s">
        <v>2003</v>
      </c>
      <c r="B13" s="219" t="s">
        <v>2004</v>
      </c>
    </row>
    <row r="14" spans="1:3" ht="15" x14ac:dyDescent="0.2">
      <c r="A14" s="49" t="s">
        <v>2005</v>
      </c>
      <c r="B14" s="219" t="s">
        <v>2006</v>
      </c>
    </row>
    <row r="15" spans="1:3" ht="15" x14ac:dyDescent="0.2">
      <c r="A15" s="49">
        <v>1353</v>
      </c>
      <c r="B15" s="219" t="s">
        <v>2007</v>
      </c>
    </row>
    <row r="16" spans="1:3" ht="15" x14ac:dyDescent="0.2">
      <c r="A16" s="49">
        <v>1406</v>
      </c>
      <c r="B16" s="219" t="s">
        <v>2008</v>
      </c>
    </row>
    <row r="17" spans="1:2" ht="15" x14ac:dyDescent="0.2">
      <c r="A17" s="49">
        <v>1520</v>
      </c>
      <c r="B17" s="219" t="s">
        <v>2009</v>
      </c>
    </row>
    <row r="18" spans="1:2" ht="15" x14ac:dyDescent="0.2">
      <c r="A18" s="49">
        <v>1711</v>
      </c>
      <c r="B18" s="219" t="s">
        <v>2010</v>
      </c>
    </row>
    <row r="19" spans="1:2" ht="15" x14ac:dyDescent="0.2">
      <c r="A19" s="49">
        <v>1731</v>
      </c>
      <c r="B19" s="219" t="s">
        <v>2011</v>
      </c>
    </row>
    <row r="20" spans="1:2" ht="15" x14ac:dyDescent="0.2">
      <c r="A20" s="49">
        <v>1740</v>
      </c>
      <c r="B20" s="219" t="s">
        <v>2012</v>
      </c>
    </row>
    <row r="21" spans="1:2" ht="15" x14ac:dyDescent="0.2">
      <c r="A21" s="49">
        <v>1750</v>
      </c>
      <c r="B21" s="219" t="s">
        <v>2013</v>
      </c>
    </row>
    <row r="22" spans="1:2" ht="15" x14ac:dyDescent="0.2">
      <c r="A22" s="49">
        <v>1761</v>
      </c>
      <c r="B22" s="219" t="s">
        <v>2014</v>
      </c>
    </row>
    <row r="23" spans="1:2" ht="15" x14ac:dyDescent="0.2">
      <c r="A23" s="49">
        <v>1771</v>
      </c>
      <c r="B23" s="219" t="s">
        <v>2015</v>
      </c>
    </row>
    <row r="24" spans="1:2" ht="15" x14ac:dyDescent="0.2">
      <c r="A24" s="49">
        <v>1799</v>
      </c>
      <c r="B24" s="219" t="s">
        <v>2016</v>
      </c>
    </row>
    <row r="25" spans="1:2" ht="15" x14ac:dyDescent="0.2">
      <c r="A25" s="49">
        <v>2741</v>
      </c>
      <c r="B25" s="219" t="s">
        <v>2017</v>
      </c>
    </row>
    <row r="26" spans="1:2" ht="15" x14ac:dyDescent="0.2">
      <c r="A26" s="49">
        <v>2791</v>
      </c>
      <c r="B26" s="219" t="s">
        <v>2018</v>
      </c>
    </row>
    <row r="27" spans="1:2" ht="15" x14ac:dyDescent="0.2">
      <c r="A27" s="49">
        <v>2842</v>
      </c>
      <c r="B27" s="219" t="s">
        <v>2019</v>
      </c>
    </row>
    <row r="28" spans="1:2" ht="15" x14ac:dyDescent="0.2">
      <c r="A28" s="49" t="s">
        <v>2020</v>
      </c>
      <c r="B28" s="219" t="s">
        <v>2021</v>
      </c>
    </row>
    <row r="29" spans="1:2" ht="15" x14ac:dyDescent="0.2">
      <c r="A29" s="49" t="s">
        <v>2022</v>
      </c>
      <c r="B29" s="219" t="s">
        <v>2023</v>
      </c>
    </row>
    <row r="30" spans="1:2" ht="15" x14ac:dyDescent="0.2">
      <c r="A30" s="49" t="s">
        <v>2024</v>
      </c>
      <c r="B30" s="219" t="s">
        <v>2025</v>
      </c>
    </row>
    <row r="31" spans="1:2" ht="15" x14ac:dyDescent="0.2">
      <c r="A31" s="49">
        <v>4011</v>
      </c>
      <c r="B31" s="219" t="s">
        <v>2026</v>
      </c>
    </row>
    <row r="32" spans="1:2" ht="15" x14ac:dyDescent="0.2">
      <c r="A32" s="49">
        <v>4111</v>
      </c>
      <c r="B32" s="219" t="s">
        <v>2027</v>
      </c>
    </row>
    <row r="33" spans="1:2" ht="15" x14ac:dyDescent="0.2">
      <c r="A33" s="49">
        <v>4112</v>
      </c>
      <c r="B33" s="219" t="s">
        <v>2028</v>
      </c>
    </row>
    <row r="34" spans="1:2" ht="15" x14ac:dyDescent="0.2">
      <c r="A34" s="49">
        <v>4119</v>
      </c>
      <c r="B34" s="219" t="s">
        <v>2029</v>
      </c>
    </row>
    <row r="35" spans="1:2" ht="15" x14ac:dyDescent="0.2">
      <c r="A35" s="49">
        <v>4121</v>
      </c>
      <c r="B35" s="219" t="s">
        <v>2030</v>
      </c>
    </row>
    <row r="36" spans="1:2" ht="15" x14ac:dyDescent="0.2">
      <c r="A36" s="49">
        <v>4131</v>
      </c>
      <c r="B36" s="219" t="s">
        <v>2031</v>
      </c>
    </row>
    <row r="37" spans="1:2" ht="15" x14ac:dyDescent="0.2">
      <c r="A37" s="49">
        <v>4214</v>
      </c>
      <c r="B37" s="219" t="s">
        <v>2032</v>
      </c>
    </row>
    <row r="38" spans="1:2" ht="15" x14ac:dyDescent="0.2">
      <c r="A38" s="49">
        <v>4215</v>
      </c>
      <c r="B38" s="219" t="s">
        <v>2033</v>
      </c>
    </row>
    <row r="39" spans="1:2" ht="15" x14ac:dyDescent="0.2">
      <c r="A39" s="49">
        <v>4225</v>
      </c>
      <c r="B39" s="219" t="s">
        <v>2034</v>
      </c>
    </row>
    <row r="40" spans="1:2" ht="15" x14ac:dyDescent="0.2">
      <c r="A40" s="49">
        <v>4411</v>
      </c>
      <c r="B40" s="219" t="s">
        <v>2035</v>
      </c>
    </row>
    <row r="41" spans="1:2" ht="15" x14ac:dyDescent="0.2">
      <c r="A41" s="49">
        <v>4457</v>
      </c>
      <c r="B41" s="219" t="s">
        <v>2036</v>
      </c>
    </row>
    <row r="42" spans="1:2" ht="15" x14ac:dyDescent="0.2">
      <c r="A42" s="49">
        <v>4468</v>
      </c>
      <c r="B42" s="219" t="s">
        <v>2037</v>
      </c>
    </row>
    <row r="43" spans="1:2" ht="15" x14ac:dyDescent="0.2">
      <c r="A43" s="49">
        <v>4511</v>
      </c>
      <c r="B43" s="219" t="s">
        <v>2038</v>
      </c>
    </row>
    <row r="44" spans="1:2" ht="15" x14ac:dyDescent="0.2">
      <c r="A44" s="49">
        <v>4582</v>
      </c>
      <c r="B44" s="219" t="s">
        <v>2039</v>
      </c>
    </row>
    <row r="45" spans="1:2" ht="15" x14ac:dyDescent="0.2">
      <c r="A45" s="49">
        <v>4722</v>
      </c>
      <c r="B45" s="219" t="s">
        <v>2040</v>
      </c>
    </row>
    <row r="46" spans="1:2" ht="15" x14ac:dyDescent="0.2">
      <c r="A46" s="49">
        <v>4723</v>
      </c>
      <c r="B46" s="219" t="s">
        <v>2041</v>
      </c>
    </row>
    <row r="47" spans="1:2" ht="15" x14ac:dyDescent="0.2">
      <c r="A47" s="49">
        <v>4784</v>
      </c>
      <c r="B47" s="219" t="s">
        <v>2042</v>
      </c>
    </row>
    <row r="48" spans="1:2" ht="15" x14ac:dyDescent="0.2">
      <c r="A48" s="49">
        <v>4789</v>
      </c>
      <c r="B48" s="219" t="s">
        <v>2043</v>
      </c>
    </row>
    <row r="49" spans="1:2" ht="15" x14ac:dyDescent="0.2">
      <c r="A49" s="49">
        <v>4812</v>
      </c>
      <c r="B49" s="219" t="s">
        <v>2044</v>
      </c>
    </row>
    <row r="50" spans="1:2" ht="15" x14ac:dyDescent="0.2">
      <c r="A50" s="49">
        <v>4813</v>
      </c>
      <c r="B50" s="219" t="s">
        <v>2045</v>
      </c>
    </row>
    <row r="51" spans="1:2" ht="15" x14ac:dyDescent="0.2">
      <c r="A51" s="49">
        <v>4814</v>
      </c>
      <c r="B51" s="219" t="s">
        <v>2046</v>
      </c>
    </row>
    <row r="52" spans="1:2" ht="15" x14ac:dyDescent="0.2">
      <c r="A52" s="49">
        <v>4815</v>
      </c>
      <c r="B52" s="219" t="s">
        <v>2047</v>
      </c>
    </row>
    <row r="53" spans="1:2" ht="15" x14ac:dyDescent="0.2">
      <c r="A53" s="49">
        <v>4816</v>
      </c>
      <c r="B53" s="219" t="s">
        <v>2048</v>
      </c>
    </row>
    <row r="54" spans="1:2" ht="15" x14ac:dyDescent="0.2">
      <c r="A54" s="49">
        <v>4821</v>
      </c>
      <c r="B54" s="219" t="s">
        <v>2049</v>
      </c>
    </row>
    <row r="55" spans="1:2" ht="15" x14ac:dyDescent="0.2">
      <c r="A55" s="49">
        <v>4829</v>
      </c>
      <c r="B55" s="219" t="s">
        <v>2050</v>
      </c>
    </row>
    <row r="56" spans="1:2" ht="15" x14ac:dyDescent="0.2">
      <c r="A56" s="49">
        <v>4899</v>
      </c>
      <c r="B56" s="219" t="s">
        <v>2051</v>
      </c>
    </row>
    <row r="57" spans="1:2" ht="15" x14ac:dyDescent="0.2">
      <c r="A57" s="49">
        <v>4900</v>
      </c>
      <c r="B57" s="219" t="s">
        <v>2052</v>
      </c>
    </row>
    <row r="58" spans="1:2" ht="15" x14ac:dyDescent="0.2">
      <c r="A58" s="49">
        <v>5013</v>
      </c>
      <c r="B58" s="219" t="s">
        <v>2053</v>
      </c>
    </row>
    <row r="59" spans="1:2" ht="15" x14ac:dyDescent="0.2">
      <c r="A59" s="49">
        <v>5021</v>
      </c>
      <c r="B59" s="219" t="s">
        <v>2054</v>
      </c>
    </row>
    <row r="60" spans="1:2" ht="15" x14ac:dyDescent="0.2">
      <c r="A60" s="49">
        <v>5039</v>
      </c>
      <c r="B60" s="219" t="s">
        <v>2055</v>
      </c>
    </row>
    <row r="61" spans="1:2" ht="15" x14ac:dyDescent="0.2">
      <c r="A61" s="49">
        <v>5044</v>
      </c>
      <c r="B61" s="219" t="s">
        <v>2056</v>
      </c>
    </row>
    <row r="62" spans="1:2" ht="15" x14ac:dyDescent="0.2">
      <c r="A62" s="49">
        <v>5045</v>
      </c>
      <c r="B62" s="219" t="s">
        <v>2057</v>
      </c>
    </row>
    <row r="63" spans="1:2" ht="15" x14ac:dyDescent="0.2">
      <c r="A63" s="49">
        <v>5046</v>
      </c>
      <c r="B63" s="219" t="s">
        <v>2058</v>
      </c>
    </row>
    <row r="64" spans="1:2" ht="15" x14ac:dyDescent="0.2">
      <c r="A64" s="49">
        <v>5047</v>
      </c>
      <c r="B64" s="219" t="s">
        <v>2059</v>
      </c>
    </row>
    <row r="65" spans="1:2" ht="15" x14ac:dyDescent="0.2">
      <c r="A65" s="49">
        <v>5051</v>
      </c>
      <c r="B65" s="219" t="s">
        <v>2060</v>
      </c>
    </row>
    <row r="66" spans="1:2" ht="15" x14ac:dyDescent="0.2">
      <c r="A66" s="49">
        <v>5065</v>
      </c>
      <c r="B66" s="219" t="s">
        <v>2061</v>
      </c>
    </row>
    <row r="67" spans="1:2" ht="15" x14ac:dyDescent="0.2">
      <c r="A67" s="49">
        <v>5072</v>
      </c>
      <c r="B67" s="219" t="s">
        <v>2062</v>
      </c>
    </row>
    <row r="68" spans="1:2" ht="15" x14ac:dyDescent="0.2">
      <c r="A68" s="49">
        <v>5074</v>
      </c>
      <c r="B68" s="219" t="s">
        <v>2063</v>
      </c>
    </row>
    <row r="69" spans="1:2" ht="15" x14ac:dyDescent="0.2">
      <c r="A69" s="49">
        <v>5085</v>
      </c>
      <c r="B69" s="219" t="s">
        <v>2064</v>
      </c>
    </row>
    <row r="70" spans="1:2" ht="15" x14ac:dyDescent="0.2">
      <c r="A70" s="49">
        <v>5094</v>
      </c>
      <c r="B70" s="219" t="s">
        <v>2065</v>
      </c>
    </row>
    <row r="71" spans="1:2" ht="15" x14ac:dyDescent="0.2">
      <c r="A71" s="49">
        <v>5099</v>
      </c>
      <c r="B71" s="219" t="s">
        <v>2066</v>
      </c>
    </row>
    <row r="72" spans="1:2" ht="15" x14ac:dyDescent="0.2">
      <c r="A72" s="49">
        <v>5111</v>
      </c>
      <c r="B72" s="219" t="s">
        <v>2067</v>
      </c>
    </row>
    <row r="73" spans="1:2" ht="15" x14ac:dyDescent="0.2">
      <c r="A73" s="49">
        <v>5122</v>
      </c>
      <c r="B73" s="219" t="s">
        <v>2068</v>
      </c>
    </row>
    <row r="74" spans="1:2" ht="15" x14ac:dyDescent="0.2">
      <c r="A74" s="49">
        <v>5131</v>
      </c>
      <c r="B74" s="219" t="s">
        <v>2069</v>
      </c>
    </row>
    <row r="75" spans="1:2" ht="15" x14ac:dyDescent="0.2">
      <c r="A75" s="49">
        <v>5137</v>
      </c>
      <c r="B75" s="219" t="s">
        <v>2070</v>
      </c>
    </row>
    <row r="76" spans="1:2" ht="15" x14ac:dyDescent="0.2">
      <c r="A76" s="49">
        <v>5139</v>
      </c>
      <c r="B76" s="219" t="s">
        <v>2071</v>
      </c>
    </row>
    <row r="77" spans="1:2" ht="15" x14ac:dyDescent="0.2">
      <c r="A77" s="49">
        <v>5169</v>
      </c>
      <c r="B77" s="219" t="s">
        <v>2072</v>
      </c>
    </row>
    <row r="78" spans="1:2" ht="15" x14ac:dyDescent="0.2">
      <c r="A78" s="49">
        <v>5172</v>
      </c>
      <c r="B78" s="219" t="s">
        <v>2073</v>
      </c>
    </row>
    <row r="79" spans="1:2" ht="15" x14ac:dyDescent="0.2">
      <c r="A79" s="49">
        <v>5192</v>
      </c>
      <c r="B79" s="219" t="s">
        <v>2074</v>
      </c>
    </row>
    <row r="80" spans="1:2" ht="15" x14ac:dyDescent="0.2">
      <c r="A80" s="49">
        <v>5193</v>
      </c>
      <c r="B80" s="219" t="s">
        <v>2075</v>
      </c>
    </row>
    <row r="81" spans="1:3" ht="15" x14ac:dyDescent="0.2">
      <c r="A81" s="49">
        <v>5198</v>
      </c>
      <c r="B81" s="219" t="s">
        <v>2076</v>
      </c>
    </row>
    <row r="82" spans="1:3" ht="15" x14ac:dyDescent="0.2">
      <c r="A82" s="49">
        <v>5199</v>
      </c>
      <c r="B82" s="219" t="s">
        <v>2077</v>
      </c>
    </row>
    <row r="83" spans="1:3" ht="15" x14ac:dyDescent="0.2">
      <c r="A83" s="49">
        <v>5200</v>
      </c>
      <c r="B83" s="219" t="s">
        <v>2078</v>
      </c>
    </row>
    <row r="84" spans="1:3" ht="15" x14ac:dyDescent="0.2">
      <c r="A84" s="49">
        <v>5211</v>
      </c>
      <c r="B84" s="219" t="s">
        <v>2079</v>
      </c>
    </row>
    <row r="85" spans="1:3" ht="15" x14ac:dyDescent="0.2">
      <c r="A85" s="49">
        <v>5231</v>
      </c>
      <c r="B85" s="219" t="s">
        <v>2080</v>
      </c>
    </row>
    <row r="86" spans="1:3" ht="15" x14ac:dyDescent="0.2">
      <c r="A86" s="49">
        <v>5251</v>
      </c>
      <c r="B86" s="219" t="s">
        <v>2081</v>
      </c>
    </row>
    <row r="87" spans="1:3" ht="15" x14ac:dyDescent="0.2">
      <c r="A87" s="49">
        <v>5261</v>
      </c>
      <c r="B87" s="219" t="s">
        <v>2082</v>
      </c>
    </row>
    <row r="88" spans="1:3" ht="15" x14ac:dyDescent="0.2">
      <c r="A88" s="49">
        <v>5262</v>
      </c>
      <c r="B88" s="219" t="s">
        <v>2604</v>
      </c>
      <c r="C88" t="s">
        <v>2605</v>
      </c>
    </row>
    <row r="89" spans="1:3" ht="15" x14ac:dyDescent="0.2">
      <c r="A89" s="49">
        <v>5271</v>
      </c>
      <c r="B89" s="219" t="s">
        <v>2083</v>
      </c>
    </row>
    <row r="90" spans="1:3" ht="15" x14ac:dyDescent="0.2">
      <c r="A90" s="49">
        <v>5299</v>
      </c>
      <c r="B90" s="219" t="s">
        <v>2084</v>
      </c>
    </row>
    <row r="91" spans="1:3" ht="15" x14ac:dyDescent="0.2">
      <c r="A91" s="49">
        <v>5300</v>
      </c>
      <c r="B91" s="219" t="s">
        <v>2085</v>
      </c>
    </row>
    <row r="92" spans="1:3" ht="15" x14ac:dyDescent="0.2">
      <c r="A92" s="49">
        <v>5309</v>
      </c>
      <c r="B92" s="219" t="s">
        <v>2086</v>
      </c>
    </row>
    <row r="93" spans="1:3" ht="15" x14ac:dyDescent="0.2">
      <c r="A93" s="49">
        <v>5310</v>
      </c>
      <c r="B93" s="219" t="s">
        <v>2087</v>
      </c>
    </row>
    <row r="94" spans="1:3" ht="15" x14ac:dyDescent="0.2">
      <c r="A94" s="49">
        <v>5311</v>
      </c>
      <c r="B94" s="219" t="s">
        <v>2088</v>
      </c>
    </row>
    <row r="95" spans="1:3" ht="15" x14ac:dyDescent="0.2">
      <c r="A95" s="49">
        <v>5331</v>
      </c>
      <c r="B95" s="219" t="s">
        <v>2089</v>
      </c>
    </row>
    <row r="96" spans="1:3" ht="15" x14ac:dyDescent="0.2">
      <c r="A96" s="49">
        <v>5333</v>
      </c>
      <c r="B96" s="219" t="s">
        <v>2596</v>
      </c>
      <c r="C96" t="s">
        <v>2594</v>
      </c>
    </row>
    <row r="97" spans="1:2" ht="15" x14ac:dyDescent="0.2">
      <c r="A97" s="49">
        <v>5399</v>
      </c>
      <c r="B97" s="219" t="s">
        <v>2090</v>
      </c>
    </row>
    <row r="98" spans="1:2" ht="15" x14ac:dyDescent="0.2">
      <c r="A98" s="49">
        <v>5411</v>
      </c>
      <c r="B98" s="219" t="s">
        <v>2091</v>
      </c>
    </row>
    <row r="99" spans="1:2" ht="15" x14ac:dyDescent="0.2">
      <c r="A99" s="49">
        <v>5422</v>
      </c>
      <c r="B99" s="219" t="s">
        <v>2092</v>
      </c>
    </row>
    <row r="100" spans="1:2" ht="15" x14ac:dyDescent="0.2">
      <c r="A100" s="49">
        <v>5441</v>
      </c>
      <c r="B100" s="219" t="s">
        <v>2093</v>
      </c>
    </row>
    <row r="101" spans="1:2" ht="15" x14ac:dyDescent="0.2">
      <c r="A101" s="49">
        <v>5451</v>
      </c>
      <c r="B101" s="219" t="s">
        <v>2094</v>
      </c>
    </row>
    <row r="102" spans="1:2" ht="15" x14ac:dyDescent="0.2">
      <c r="A102" s="49">
        <v>5462</v>
      </c>
      <c r="B102" s="219" t="s">
        <v>2095</v>
      </c>
    </row>
    <row r="103" spans="1:2" ht="15" x14ac:dyDescent="0.2">
      <c r="A103" s="49">
        <v>5499</v>
      </c>
      <c r="B103" s="219" t="s">
        <v>2096</v>
      </c>
    </row>
    <row r="104" spans="1:2" ht="15" x14ac:dyDescent="0.2">
      <c r="A104" s="49">
        <v>5511</v>
      </c>
      <c r="B104" s="219" t="s">
        <v>2097</v>
      </c>
    </row>
    <row r="105" spans="1:2" ht="15" x14ac:dyDescent="0.2">
      <c r="A105" s="49">
        <v>5521</v>
      </c>
      <c r="B105" s="219" t="s">
        <v>2098</v>
      </c>
    </row>
    <row r="106" spans="1:2" ht="15" x14ac:dyDescent="0.2">
      <c r="A106" s="49">
        <v>5531</v>
      </c>
      <c r="B106" s="219" t="s">
        <v>2099</v>
      </c>
    </row>
    <row r="107" spans="1:2" ht="15" x14ac:dyDescent="0.2">
      <c r="A107" s="49">
        <v>5532</v>
      </c>
      <c r="B107" s="219" t="s">
        <v>2100</v>
      </c>
    </row>
    <row r="108" spans="1:2" ht="15" x14ac:dyDescent="0.2">
      <c r="A108" s="49">
        <v>5533</v>
      </c>
      <c r="B108" s="219" t="s">
        <v>2101</v>
      </c>
    </row>
    <row r="109" spans="1:2" ht="15" x14ac:dyDescent="0.2">
      <c r="A109" s="49">
        <v>5541</v>
      </c>
      <c r="B109" s="219" t="s">
        <v>2102</v>
      </c>
    </row>
    <row r="110" spans="1:2" ht="15" x14ac:dyDescent="0.2">
      <c r="A110" s="49">
        <v>5542</v>
      </c>
      <c r="B110" s="219" t="s">
        <v>2103</v>
      </c>
    </row>
    <row r="111" spans="1:2" ht="15" x14ac:dyDescent="0.2">
      <c r="A111" s="49">
        <v>5551</v>
      </c>
      <c r="B111" s="219" t="s">
        <v>2104</v>
      </c>
    </row>
    <row r="112" spans="1:2" ht="15" x14ac:dyDescent="0.2">
      <c r="A112" s="49">
        <v>5552</v>
      </c>
      <c r="B112" s="219" t="s">
        <v>2105</v>
      </c>
    </row>
    <row r="113" spans="1:2" ht="15" x14ac:dyDescent="0.2">
      <c r="A113" s="49">
        <v>5561</v>
      </c>
      <c r="B113" s="219" t="s">
        <v>2106</v>
      </c>
    </row>
    <row r="114" spans="1:2" ht="15" x14ac:dyDescent="0.2">
      <c r="A114" s="49">
        <v>5571</v>
      </c>
      <c r="B114" s="219" t="s">
        <v>2107</v>
      </c>
    </row>
    <row r="115" spans="1:2" ht="15" x14ac:dyDescent="0.2">
      <c r="A115" s="49">
        <v>5592</v>
      </c>
      <c r="B115" s="219" t="s">
        <v>2108</v>
      </c>
    </row>
    <row r="116" spans="1:2" ht="15" x14ac:dyDescent="0.2">
      <c r="A116" s="49">
        <v>5598</v>
      </c>
      <c r="B116" s="219" t="s">
        <v>2109</v>
      </c>
    </row>
    <row r="117" spans="1:2" ht="15" x14ac:dyDescent="0.2">
      <c r="A117" s="49">
        <v>5599</v>
      </c>
      <c r="B117" s="219" t="s">
        <v>2110</v>
      </c>
    </row>
    <row r="118" spans="1:2" ht="15" x14ac:dyDescent="0.2">
      <c r="A118" s="49">
        <v>5611</v>
      </c>
      <c r="B118" s="219" t="s">
        <v>2111</v>
      </c>
    </row>
    <row r="119" spans="1:2" ht="15" x14ac:dyDescent="0.2">
      <c r="A119" s="49">
        <v>5621</v>
      </c>
      <c r="B119" s="219" t="s">
        <v>2112</v>
      </c>
    </row>
    <row r="120" spans="1:2" ht="15" x14ac:dyDescent="0.2">
      <c r="A120" s="49">
        <v>5631</v>
      </c>
      <c r="B120" s="219" t="s">
        <v>2113</v>
      </c>
    </row>
    <row r="121" spans="1:2" ht="15" x14ac:dyDescent="0.2">
      <c r="A121" s="49">
        <v>5641</v>
      </c>
      <c r="B121" s="219" t="s">
        <v>2114</v>
      </c>
    </row>
    <row r="122" spans="1:2" ht="15" x14ac:dyDescent="0.2">
      <c r="A122" s="49">
        <v>5651</v>
      </c>
      <c r="B122" s="219" t="s">
        <v>2115</v>
      </c>
    </row>
    <row r="123" spans="1:2" ht="15" x14ac:dyDescent="0.2">
      <c r="A123" s="49">
        <v>5655</v>
      </c>
      <c r="B123" s="219" t="s">
        <v>2116</v>
      </c>
    </row>
    <row r="124" spans="1:2" ht="15" x14ac:dyDescent="0.2">
      <c r="A124" s="49">
        <v>5661</v>
      </c>
      <c r="B124" s="219" t="s">
        <v>2117</v>
      </c>
    </row>
    <row r="125" spans="1:2" ht="15" x14ac:dyDescent="0.2">
      <c r="A125" s="49">
        <v>5681</v>
      </c>
      <c r="B125" s="219" t="s">
        <v>2118</v>
      </c>
    </row>
    <row r="126" spans="1:2" ht="15" x14ac:dyDescent="0.2">
      <c r="A126" s="49">
        <v>5691</v>
      </c>
      <c r="B126" s="219" t="s">
        <v>2119</v>
      </c>
    </row>
    <row r="127" spans="1:2" ht="15" x14ac:dyDescent="0.2">
      <c r="A127" s="49">
        <v>5697</v>
      </c>
      <c r="B127" s="219" t="s">
        <v>2120</v>
      </c>
    </row>
    <row r="128" spans="1:2" ht="15" x14ac:dyDescent="0.2">
      <c r="A128" s="49">
        <v>5698</v>
      </c>
      <c r="B128" s="219" t="s">
        <v>2121</v>
      </c>
    </row>
    <row r="129" spans="1:3" ht="15" x14ac:dyDescent="0.2">
      <c r="A129" s="49">
        <v>5699</v>
      </c>
      <c r="B129" s="219" t="s">
        <v>2122</v>
      </c>
    </row>
    <row r="130" spans="1:3" ht="15" x14ac:dyDescent="0.2">
      <c r="A130" s="49">
        <v>5712</v>
      </c>
      <c r="B130" s="219" t="s">
        <v>2123</v>
      </c>
    </row>
    <row r="131" spans="1:3" ht="15" x14ac:dyDescent="0.2">
      <c r="A131" s="49">
        <v>5713</v>
      </c>
      <c r="B131" s="219" t="s">
        <v>2124</v>
      </c>
    </row>
    <row r="132" spans="1:3" ht="15" x14ac:dyDescent="0.2">
      <c r="A132" s="49">
        <v>5714</v>
      </c>
      <c r="B132" s="219" t="s">
        <v>2125</v>
      </c>
    </row>
    <row r="133" spans="1:3" ht="15" x14ac:dyDescent="0.2">
      <c r="A133" s="49">
        <v>5715</v>
      </c>
      <c r="B133" s="219" t="s">
        <v>2593</v>
      </c>
      <c r="C133" t="s">
        <v>2594</v>
      </c>
    </row>
    <row r="134" spans="1:3" ht="15" x14ac:dyDescent="0.2">
      <c r="A134" s="49">
        <v>5718</v>
      </c>
      <c r="B134" s="219" t="s">
        <v>2126</v>
      </c>
    </row>
    <row r="135" spans="1:3" ht="15" x14ac:dyDescent="0.2">
      <c r="A135" s="49">
        <v>5719</v>
      </c>
      <c r="B135" s="219" t="s">
        <v>2127</v>
      </c>
    </row>
    <row r="136" spans="1:3" ht="15" x14ac:dyDescent="0.2">
      <c r="A136" s="49">
        <v>5722</v>
      </c>
      <c r="B136" s="219" t="s">
        <v>2128</v>
      </c>
    </row>
    <row r="137" spans="1:3" ht="15" x14ac:dyDescent="0.2">
      <c r="A137" s="49">
        <v>5732</v>
      </c>
      <c r="B137" s="219" t="s">
        <v>2129</v>
      </c>
    </row>
    <row r="138" spans="1:3" ht="15" x14ac:dyDescent="0.2">
      <c r="A138" s="49">
        <v>5733</v>
      </c>
      <c r="B138" s="219" t="s">
        <v>2130</v>
      </c>
    </row>
    <row r="139" spans="1:3" ht="15" x14ac:dyDescent="0.2">
      <c r="A139" s="49">
        <v>5734</v>
      </c>
      <c r="B139" s="219" t="s">
        <v>2131</v>
      </c>
    </row>
    <row r="140" spans="1:3" ht="15" x14ac:dyDescent="0.2">
      <c r="A140" s="49">
        <v>5735</v>
      </c>
      <c r="B140" s="219" t="s">
        <v>2132</v>
      </c>
    </row>
    <row r="141" spans="1:3" ht="15" x14ac:dyDescent="0.2">
      <c r="A141" s="49">
        <v>5811</v>
      </c>
      <c r="B141" s="219" t="s">
        <v>2133</v>
      </c>
    </row>
    <row r="142" spans="1:3" ht="15" x14ac:dyDescent="0.2">
      <c r="A142" s="49">
        <v>5812</v>
      </c>
      <c r="B142" s="219" t="s">
        <v>2134</v>
      </c>
    </row>
    <row r="143" spans="1:3" ht="15" x14ac:dyDescent="0.2">
      <c r="A143" s="49">
        <v>5813</v>
      </c>
      <c r="B143" s="219" t="s">
        <v>2135</v>
      </c>
    </row>
    <row r="144" spans="1:3" ht="15" x14ac:dyDescent="0.2">
      <c r="A144" s="49">
        <v>5814</v>
      </c>
      <c r="B144" s="219" t="s">
        <v>2136</v>
      </c>
    </row>
    <row r="145" spans="1:2" ht="15" x14ac:dyDescent="0.2">
      <c r="A145" s="49">
        <v>5815</v>
      </c>
      <c r="B145" s="219" t="s">
        <v>2137</v>
      </c>
    </row>
    <row r="146" spans="1:2" ht="15" x14ac:dyDescent="0.2">
      <c r="A146" s="49">
        <v>5816</v>
      </c>
      <c r="B146" s="219" t="s">
        <v>2138</v>
      </c>
    </row>
    <row r="147" spans="1:2" ht="15" x14ac:dyDescent="0.2">
      <c r="A147" s="49">
        <v>5817</v>
      </c>
      <c r="B147" s="219" t="s">
        <v>2139</v>
      </c>
    </row>
    <row r="148" spans="1:2" ht="15" x14ac:dyDescent="0.2">
      <c r="A148" s="49">
        <v>5818</v>
      </c>
      <c r="B148" s="219" t="s">
        <v>2140</v>
      </c>
    </row>
    <row r="149" spans="1:2" ht="15" x14ac:dyDescent="0.2">
      <c r="A149" s="49">
        <v>5912</v>
      </c>
      <c r="B149" s="219" t="s">
        <v>2141</v>
      </c>
    </row>
    <row r="150" spans="1:2" ht="15" x14ac:dyDescent="0.2">
      <c r="A150" s="49">
        <v>5921</v>
      </c>
      <c r="B150" s="219" t="s">
        <v>2142</v>
      </c>
    </row>
    <row r="151" spans="1:2" ht="15" x14ac:dyDescent="0.2">
      <c r="A151" s="49">
        <v>5931</v>
      </c>
      <c r="B151" s="219" t="s">
        <v>2143</v>
      </c>
    </row>
    <row r="152" spans="1:2" ht="15" x14ac:dyDescent="0.2">
      <c r="A152" s="49">
        <v>5932</v>
      </c>
      <c r="B152" s="219" t="s">
        <v>2144</v>
      </c>
    </row>
    <row r="153" spans="1:2" ht="15" x14ac:dyDescent="0.2">
      <c r="A153" s="49">
        <v>5933</v>
      </c>
      <c r="B153" s="219" t="s">
        <v>2145</v>
      </c>
    </row>
    <row r="154" spans="1:2" ht="15" x14ac:dyDescent="0.2">
      <c r="A154" s="49">
        <v>5935</v>
      </c>
      <c r="B154" s="219" t="s">
        <v>2146</v>
      </c>
    </row>
    <row r="155" spans="1:2" ht="15" x14ac:dyDescent="0.2">
      <c r="A155" s="49">
        <v>5937</v>
      </c>
      <c r="B155" s="219" t="s">
        <v>2147</v>
      </c>
    </row>
    <row r="156" spans="1:2" ht="15" x14ac:dyDescent="0.2">
      <c r="A156" s="49">
        <v>5940</v>
      </c>
      <c r="B156" s="219" t="s">
        <v>2148</v>
      </c>
    </row>
    <row r="157" spans="1:2" ht="15" x14ac:dyDescent="0.2">
      <c r="A157" s="49">
        <v>5941</v>
      </c>
      <c r="B157" s="219" t="s">
        <v>2149</v>
      </c>
    </row>
    <row r="158" spans="1:2" ht="15" x14ac:dyDescent="0.2">
      <c r="A158" s="49">
        <v>5942</v>
      </c>
      <c r="B158" s="219" t="s">
        <v>2150</v>
      </c>
    </row>
    <row r="159" spans="1:2" ht="15" x14ac:dyDescent="0.2">
      <c r="A159" s="49">
        <v>5943</v>
      </c>
      <c r="B159" s="219" t="s">
        <v>2151</v>
      </c>
    </row>
    <row r="160" spans="1:2" ht="15" x14ac:dyDescent="0.2">
      <c r="A160" s="49">
        <v>5944</v>
      </c>
      <c r="B160" s="219" t="s">
        <v>2152</v>
      </c>
    </row>
    <row r="161" spans="1:2" ht="15" x14ac:dyDescent="0.2">
      <c r="A161" s="49">
        <v>5945</v>
      </c>
      <c r="B161" s="219" t="s">
        <v>2153</v>
      </c>
    </row>
    <row r="162" spans="1:2" ht="15" x14ac:dyDescent="0.2">
      <c r="A162" s="49">
        <v>5946</v>
      </c>
      <c r="B162" s="219" t="s">
        <v>2154</v>
      </c>
    </row>
    <row r="163" spans="1:2" ht="15" x14ac:dyDescent="0.2">
      <c r="A163" s="49">
        <v>5947</v>
      </c>
      <c r="B163" s="219" t="s">
        <v>2155</v>
      </c>
    </row>
    <row r="164" spans="1:2" ht="15" x14ac:dyDescent="0.2">
      <c r="A164" s="49">
        <v>5948</v>
      </c>
      <c r="B164" s="219" t="s">
        <v>2156</v>
      </c>
    </row>
    <row r="165" spans="1:2" ht="15" x14ac:dyDescent="0.2">
      <c r="A165" s="49">
        <v>5949</v>
      </c>
      <c r="B165" s="219" t="s">
        <v>2157</v>
      </c>
    </row>
    <row r="166" spans="1:2" ht="15" x14ac:dyDescent="0.2">
      <c r="A166" s="49">
        <v>5950</v>
      </c>
      <c r="B166" s="219" t="s">
        <v>2158</v>
      </c>
    </row>
    <row r="167" spans="1:2" ht="15" x14ac:dyDescent="0.2">
      <c r="A167" s="49">
        <v>5960</v>
      </c>
      <c r="B167" s="219" t="s">
        <v>2159</v>
      </c>
    </row>
    <row r="168" spans="1:2" ht="15" x14ac:dyDescent="0.2">
      <c r="A168" s="49">
        <v>5961</v>
      </c>
      <c r="B168" s="219" t="s">
        <v>2160</v>
      </c>
    </row>
    <row r="169" spans="1:2" ht="15" x14ac:dyDescent="0.2">
      <c r="A169" s="49">
        <v>5962</v>
      </c>
      <c r="B169" s="219" t="s">
        <v>2161</v>
      </c>
    </row>
    <row r="170" spans="1:2" ht="15" x14ac:dyDescent="0.2">
      <c r="A170" s="49">
        <v>5963</v>
      </c>
      <c r="B170" s="219" t="s">
        <v>2162</v>
      </c>
    </row>
    <row r="171" spans="1:2" ht="15" x14ac:dyDescent="0.2">
      <c r="A171" s="49">
        <v>5964</v>
      </c>
      <c r="B171" s="219" t="s">
        <v>2163</v>
      </c>
    </row>
    <row r="172" spans="1:2" ht="15" x14ac:dyDescent="0.2">
      <c r="A172" s="49">
        <v>5965</v>
      </c>
      <c r="B172" s="219" t="s">
        <v>2164</v>
      </c>
    </row>
    <row r="173" spans="1:2" ht="15" x14ac:dyDescent="0.2">
      <c r="A173" s="49">
        <v>5966</v>
      </c>
      <c r="B173" s="219" t="s">
        <v>2165</v>
      </c>
    </row>
    <row r="174" spans="1:2" ht="15" x14ac:dyDescent="0.2">
      <c r="A174" s="49">
        <v>5967</v>
      </c>
      <c r="B174" s="219" t="s">
        <v>2166</v>
      </c>
    </row>
    <row r="175" spans="1:2" ht="15" x14ac:dyDescent="0.2">
      <c r="A175" s="49">
        <v>5968</v>
      </c>
      <c r="B175" s="219" t="s">
        <v>2167</v>
      </c>
    </row>
    <row r="176" spans="1:2" ht="15" x14ac:dyDescent="0.2">
      <c r="A176" s="49">
        <v>5969</v>
      </c>
      <c r="B176" s="219" t="s">
        <v>2168</v>
      </c>
    </row>
    <row r="177" spans="1:2" ht="15" x14ac:dyDescent="0.2">
      <c r="A177" s="49">
        <v>5970</v>
      </c>
      <c r="B177" s="219" t="s">
        <v>2169</v>
      </c>
    </row>
    <row r="178" spans="1:2" ht="15" x14ac:dyDescent="0.2">
      <c r="A178" s="49">
        <v>5971</v>
      </c>
      <c r="B178" s="219" t="s">
        <v>2170</v>
      </c>
    </row>
    <row r="179" spans="1:2" ht="15" x14ac:dyDescent="0.2">
      <c r="A179" s="49">
        <v>5972</v>
      </c>
      <c r="B179" s="219" t="s">
        <v>2171</v>
      </c>
    </row>
    <row r="180" spans="1:2" ht="15" x14ac:dyDescent="0.2">
      <c r="A180" s="49">
        <v>5973</v>
      </c>
      <c r="B180" s="219" t="s">
        <v>2172</v>
      </c>
    </row>
    <row r="181" spans="1:2" ht="15" x14ac:dyDescent="0.2">
      <c r="A181" s="49">
        <v>5974</v>
      </c>
      <c r="B181" s="219" t="s">
        <v>2173</v>
      </c>
    </row>
    <row r="182" spans="1:2" ht="15" x14ac:dyDescent="0.2">
      <c r="A182" s="49">
        <v>5975</v>
      </c>
      <c r="B182" s="219" t="s">
        <v>2174</v>
      </c>
    </row>
    <row r="183" spans="1:2" ht="15" x14ac:dyDescent="0.2">
      <c r="A183" s="49">
        <v>5976</v>
      </c>
      <c r="B183" s="219" t="s">
        <v>2175</v>
      </c>
    </row>
    <row r="184" spans="1:2" ht="15" x14ac:dyDescent="0.2">
      <c r="A184" s="49">
        <v>5977</v>
      </c>
      <c r="B184" s="219" t="s">
        <v>2176</v>
      </c>
    </row>
    <row r="185" spans="1:2" ht="15" x14ac:dyDescent="0.2">
      <c r="A185" s="49">
        <v>5978</v>
      </c>
      <c r="B185" s="219" t="s">
        <v>2177</v>
      </c>
    </row>
    <row r="186" spans="1:2" ht="15" x14ac:dyDescent="0.2">
      <c r="A186" s="49">
        <v>5983</v>
      </c>
      <c r="B186" s="219" t="s">
        <v>2178</v>
      </c>
    </row>
    <row r="187" spans="1:2" ht="15" x14ac:dyDescent="0.2">
      <c r="A187" s="49">
        <v>5992</v>
      </c>
      <c r="B187" s="219" t="s">
        <v>2179</v>
      </c>
    </row>
    <row r="188" spans="1:2" ht="15" x14ac:dyDescent="0.2">
      <c r="A188" s="49">
        <v>5993</v>
      </c>
      <c r="B188" s="219" t="s">
        <v>2180</v>
      </c>
    </row>
    <row r="189" spans="1:2" ht="15" x14ac:dyDescent="0.2">
      <c r="A189" s="49">
        <v>5994</v>
      </c>
      <c r="B189" s="219" t="s">
        <v>2181</v>
      </c>
    </row>
    <row r="190" spans="1:2" ht="15" x14ac:dyDescent="0.2">
      <c r="A190" s="49">
        <v>5995</v>
      </c>
      <c r="B190" s="219" t="s">
        <v>2182</v>
      </c>
    </row>
    <row r="191" spans="1:2" ht="15" x14ac:dyDescent="0.2">
      <c r="A191" s="49">
        <v>5996</v>
      </c>
      <c r="B191" s="219" t="s">
        <v>2183</v>
      </c>
    </row>
    <row r="192" spans="1:2" ht="15" x14ac:dyDescent="0.2">
      <c r="A192" s="49">
        <v>5997</v>
      </c>
      <c r="B192" s="219" t="s">
        <v>2184</v>
      </c>
    </row>
    <row r="193" spans="1:2" ht="15" x14ac:dyDescent="0.2">
      <c r="A193" s="49">
        <v>5998</v>
      </c>
      <c r="B193" s="219" t="s">
        <v>2185</v>
      </c>
    </row>
    <row r="194" spans="1:2" ht="15" x14ac:dyDescent="0.2">
      <c r="A194" s="49">
        <v>5999</v>
      </c>
      <c r="B194" s="219" t="s">
        <v>2186</v>
      </c>
    </row>
    <row r="195" spans="1:2" ht="15" x14ac:dyDescent="0.2">
      <c r="A195" s="49">
        <v>6010</v>
      </c>
      <c r="B195" s="219" t="s">
        <v>2187</v>
      </c>
    </row>
    <row r="196" spans="1:2" ht="15" x14ac:dyDescent="0.2">
      <c r="A196" s="49">
        <v>6011</v>
      </c>
      <c r="B196" s="219" t="s">
        <v>2188</v>
      </c>
    </row>
    <row r="197" spans="1:2" ht="15" x14ac:dyDescent="0.2">
      <c r="A197" s="49">
        <v>6012</v>
      </c>
      <c r="B197" s="219" t="s">
        <v>2189</v>
      </c>
    </row>
    <row r="198" spans="1:2" ht="15" x14ac:dyDescent="0.2">
      <c r="A198" s="49">
        <v>6050</v>
      </c>
      <c r="B198" s="219" t="s">
        <v>2190</v>
      </c>
    </row>
    <row r="199" spans="1:2" ht="15" x14ac:dyDescent="0.2">
      <c r="A199" s="49">
        <v>6051</v>
      </c>
      <c r="B199" s="219" t="s">
        <v>2191</v>
      </c>
    </row>
    <row r="200" spans="1:2" ht="15" x14ac:dyDescent="0.2">
      <c r="A200" s="49">
        <v>6211</v>
      </c>
      <c r="B200" s="219" t="s">
        <v>2192</v>
      </c>
    </row>
    <row r="201" spans="1:2" ht="15" x14ac:dyDescent="0.2">
      <c r="A201" s="49">
        <v>6300</v>
      </c>
      <c r="B201" s="219" t="s">
        <v>2193</v>
      </c>
    </row>
    <row r="202" spans="1:2" ht="15" x14ac:dyDescent="0.2">
      <c r="A202" s="49">
        <v>6381</v>
      </c>
      <c r="B202" s="219" t="s">
        <v>2194</v>
      </c>
    </row>
    <row r="203" spans="1:2" ht="15" x14ac:dyDescent="0.2">
      <c r="A203" s="49">
        <v>6399</v>
      </c>
      <c r="B203" s="219" t="s">
        <v>2195</v>
      </c>
    </row>
    <row r="204" spans="1:2" ht="15" x14ac:dyDescent="0.2">
      <c r="A204" s="49">
        <v>6513</v>
      </c>
      <c r="B204" s="219" t="s">
        <v>2196</v>
      </c>
    </row>
    <row r="205" spans="1:2" ht="15" x14ac:dyDescent="0.2">
      <c r="A205" s="49">
        <v>6529</v>
      </c>
      <c r="B205" s="219" t="s">
        <v>2197</v>
      </c>
    </row>
    <row r="206" spans="1:2" ht="15" x14ac:dyDescent="0.2">
      <c r="A206" s="49">
        <v>6530</v>
      </c>
      <c r="B206" s="219" t="s">
        <v>2198</v>
      </c>
    </row>
    <row r="207" spans="1:2" ht="15" x14ac:dyDescent="0.2">
      <c r="A207" s="49">
        <v>6532</v>
      </c>
      <c r="B207" s="219" t="s">
        <v>2199</v>
      </c>
    </row>
    <row r="208" spans="1:2" ht="15" x14ac:dyDescent="0.2">
      <c r="A208" s="49">
        <v>6533</v>
      </c>
      <c r="B208" s="219" t="s">
        <v>2200</v>
      </c>
    </row>
    <row r="209" spans="1:2" ht="15" x14ac:dyDescent="0.2">
      <c r="A209" s="49">
        <v>6535</v>
      </c>
      <c r="B209" s="219" t="s">
        <v>2201</v>
      </c>
    </row>
    <row r="210" spans="1:2" ht="15" x14ac:dyDescent="0.2">
      <c r="A210" s="49">
        <v>6536</v>
      </c>
      <c r="B210" s="219" t="s">
        <v>2202</v>
      </c>
    </row>
    <row r="211" spans="1:2" ht="15" x14ac:dyDescent="0.2">
      <c r="A211" s="49">
        <v>6537</v>
      </c>
      <c r="B211" s="219" t="s">
        <v>2203</v>
      </c>
    </row>
    <row r="212" spans="1:2" ht="15" x14ac:dyDescent="0.2">
      <c r="A212" s="49">
        <v>6538</v>
      </c>
      <c r="B212" s="219" t="s">
        <v>2204</v>
      </c>
    </row>
    <row r="213" spans="1:2" ht="15" x14ac:dyDescent="0.2">
      <c r="A213" s="49">
        <v>6539</v>
      </c>
      <c r="B213" s="219" t="s">
        <v>2205</v>
      </c>
    </row>
    <row r="214" spans="1:2" ht="15" x14ac:dyDescent="0.2">
      <c r="A214" s="49">
        <v>6540</v>
      </c>
      <c r="B214" s="219" t="s">
        <v>2206</v>
      </c>
    </row>
    <row r="215" spans="1:2" ht="15" x14ac:dyDescent="0.2">
      <c r="A215" s="49">
        <v>6611</v>
      </c>
      <c r="B215" s="219" t="s">
        <v>2207</v>
      </c>
    </row>
    <row r="216" spans="1:2" ht="15" x14ac:dyDescent="0.2">
      <c r="A216" s="49">
        <v>6760</v>
      </c>
      <c r="B216" s="219" t="s">
        <v>2208</v>
      </c>
    </row>
    <row r="217" spans="1:2" ht="15" x14ac:dyDescent="0.2">
      <c r="A217" s="49">
        <v>7011</v>
      </c>
      <c r="B217" s="219" t="s">
        <v>2209</v>
      </c>
    </row>
    <row r="218" spans="1:2" ht="15" x14ac:dyDescent="0.2">
      <c r="A218" s="49">
        <v>7012</v>
      </c>
      <c r="B218" s="219" t="s">
        <v>2210</v>
      </c>
    </row>
    <row r="219" spans="1:2" ht="15" x14ac:dyDescent="0.2">
      <c r="A219" s="49">
        <v>7032</v>
      </c>
      <c r="B219" s="219" t="s">
        <v>2211</v>
      </c>
    </row>
    <row r="220" spans="1:2" ht="15" x14ac:dyDescent="0.2">
      <c r="A220" s="49">
        <v>7033</v>
      </c>
      <c r="B220" s="219" t="s">
        <v>2212</v>
      </c>
    </row>
    <row r="221" spans="1:2" ht="15" x14ac:dyDescent="0.2">
      <c r="A221" s="49">
        <v>7210</v>
      </c>
      <c r="B221" s="219" t="s">
        <v>2213</v>
      </c>
    </row>
    <row r="222" spans="1:2" ht="15" x14ac:dyDescent="0.2">
      <c r="A222" s="49">
        <v>7211</v>
      </c>
      <c r="B222" s="219" t="s">
        <v>2214</v>
      </c>
    </row>
    <row r="223" spans="1:2" ht="15" x14ac:dyDescent="0.2">
      <c r="A223" s="49">
        <v>7216</v>
      </c>
      <c r="B223" s="219" t="s">
        <v>2215</v>
      </c>
    </row>
    <row r="224" spans="1:2" ht="15" x14ac:dyDescent="0.2">
      <c r="A224" s="49">
        <v>7217</v>
      </c>
      <c r="B224" s="219" t="s">
        <v>2216</v>
      </c>
    </row>
    <row r="225" spans="1:2" ht="15" x14ac:dyDescent="0.2">
      <c r="A225" s="49">
        <v>7221</v>
      </c>
      <c r="B225" s="219" t="s">
        <v>2217</v>
      </c>
    </row>
    <row r="226" spans="1:2" ht="15" x14ac:dyDescent="0.2">
      <c r="A226" s="49">
        <v>7230</v>
      </c>
      <c r="B226" s="219" t="s">
        <v>2218</v>
      </c>
    </row>
    <row r="227" spans="1:2" ht="15" x14ac:dyDescent="0.2">
      <c r="A227" s="49">
        <v>7251</v>
      </c>
      <c r="B227" s="219" t="s">
        <v>2219</v>
      </c>
    </row>
    <row r="228" spans="1:2" ht="15" x14ac:dyDescent="0.2">
      <c r="A228" s="49">
        <v>7261</v>
      </c>
      <c r="B228" s="219" t="s">
        <v>2220</v>
      </c>
    </row>
    <row r="229" spans="1:2" ht="15" x14ac:dyDescent="0.2">
      <c r="A229" s="49">
        <v>7273</v>
      </c>
      <c r="B229" s="219" t="s">
        <v>2221</v>
      </c>
    </row>
    <row r="230" spans="1:2" ht="15" x14ac:dyDescent="0.2">
      <c r="A230" s="49">
        <v>7276</v>
      </c>
      <c r="B230" s="219" t="s">
        <v>2222</v>
      </c>
    </row>
    <row r="231" spans="1:2" ht="15" x14ac:dyDescent="0.2">
      <c r="A231" s="49">
        <v>7277</v>
      </c>
      <c r="B231" s="219" t="s">
        <v>2223</v>
      </c>
    </row>
    <row r="232" spans="1:2" ht="15" x14ac:dyDescent="0.2">
      <c r="A232" s="49">
        <v>7278</v>
      </c>
      <c r="B232" s="219" t="s">
        <v>2224</v>
      </c>
    </row>
    <row r="233" spans="1:2" ht="15" x14ac:dyDescent="0.2">
      <c r="A233" s="49">
        <v>7280</v>
      </c>
      <c r="B233" s="219" t="s">
        <v>2225</v>
      </c>
    </row>
    <row r="234" spans="1:2" ht="15" x14ac:dyDescent="0.2">
      <c r="A234" s="49">
        <v>7295</v>
      </c>
      <c r="B234" s="219" t="s">
        <v>2226</v>
      </c>
    </row>
    <row r="235" spans="1:2" ht="15" x14ac:dyDescent="0.2">
      <c r="A235" s="49">
        <v>7296</v>
      </c>
      <c r="B235" s="219" t="s">
        <v>2227</v>
      </c>
    </row>
    <row r="236" spans="1:2" ht="15" x14ac:dyDescent="0.2">
      <c r="A236" s="49">
        <v>7297</v>
      </c>
      <c r="B236" s="219" t="s">
        <v>2228</v>
      </c>
    </row>
    <row r="237" spans="1:2" ht="15" x14ac:dyDescent="0.2">
      <c r="A237" s="49">
        <v>7298</v>
      </c>
      <c r="B237" s="219" t="s">
        <v>2229</v>
      </c>
    </row>
    <row r="238" spans="1:2" ht="15" x14ac:dyDescent="0.2">
      <c r="A238" s="49">
        <v>7299</v>
      </c>
      <c r="B238" s="219" t="s">
        <v>2230</v>
      </c>
    </row>
    <row r="239" spans="1:2" ht="15" x14ac:dyDescent="0.2">
      <c r="A239" s="49">
        <v>7311</v>
      </c>
      <c r="B239" s="219" t="s">
        <v>2231</v>
      </c>
    </row>
    <row r="240" spans="1:2" ht="15" x14ac:dyDescent="0.2">
      <c r="A240" s="49">
        <v>7321</v>
      </c>
      <c r="B240" s="219" t="s">
        <v>2232</v>
      </c>
    </row>
    <row r="241" spans="1:2" ht="15" x14ac:dyDescent="0.2">
      <c r="A241" s="49">
        <v>7322</v>
      </c>
      <c r="B241" s="219" t="s">
        <v>2233</v>
      </c>
    </row>
    <row r="242" spans="1:2" ht="15" x14ac:dyDescent="0.2">
      <c r="A242" s="49">
        <v>7332</v>
      </c>
      <c r="B242" s="219" t="s">
        <v>2234</v>
      </c>
    </row>
    <row r="243" spans="1:2" ht="15" x14ac:dyDescent="0.2">
      <c r="A243" s="49">
        <v>7333</v>
      </c>
      <c r="B243" s="219" t="s">
        <v>2235</v>
      </c>
    </row>
    <row r="244" spans="1:2" ht="15" x14ac:dyDescent="0.2">
      <c r="A244" s="49">
        <v>7338</v>
      </c>
      <c r="B244" s="219" t="s">
        <v>2236</v>
      </c>
    </row>
    <row r="245" spans="1:2" ht="15" x14ac:dyDescent="0.2">
      <c r="A245" s="49">
        <v>7339</v>
      </c>
      <c r="B245" s="219" t="s">
        <v>2237</v>
      </c>
    </row>
    <row r="246" spans="1:2" ht="15" x14ac:dyDescent="0.2">
      <c r="A246" s="49">
        <v>7342</v>
      </c>
      <c r="B246" s="219" t="s">
        <v>2238</v>
      </c>
    </row>
    <row r="247" spans="1:2" ht="15" x14ac:dyDescent="0.2">
      <c r="A247" s="49">
        <v>7349</v>
      </c>
      <c r="B247" s="219" t="s">
        <v>2239</v>
      </c>
    </row>
    <row r="248" spans="1:2" ht="15" x14ac:dyDescent="0.2">
      <c r="A248" s="49">
        <v>7361</v>
      </c>
      <c r="B248" s="219" t="s">
        <v>2240</v>
      </c>
    </row>
    <row r="249" spans="1:2" ht="15" x14ac:dyDescent="0.2">
      <c r="A249" s="49">
        <v>7372</v>
      </c>
      <c r="B249" s="219" t="s">
        <v>2241</v>
      </c>
    </row>
    <row r="250" spans="1:2" ht="15" x14ac:dyDescent="0.2">
      <c r="A250" s="49">
        <v>7375</v>
      </c>
      <c r="B250" s="219" t="s">
        <v>2242</v>
      </c>
    </row>
    <row r="251" spans="1:2" ht="15" x14ac:dyDescent="0.2">
      <c r="A251" s="49">
        <v>7379</v>
      </c>
      <c r="B251" s="219" t="s">
        <v>2243</v>
      </c>
    </row>
    <row r="252" spans="1:2" ht="15" x14ac:dyDescent="0.2">
      <c r="A252" s="49">
        <v>7392</v>
      </c>
      <c r="B252" s="219" t="s">
        <v>2244</v>
      </c>
    </row>
    <row r="253" spans="1:2" ht="15" x14ac:dyDescent="0.2">
      <c r="A253" s="49">
        <v>7393</v>
      </c>
      <c r="B253" s="219" t="s">
        <v>2245</v>
      </c>
    </row>
    <row r="254" spans="1:2" ht="15" x14ac:dyDescent="0.2">
      <c r="A254" s="49">
        <v>7394</v>
      </c>
      <c r="B254" s="219" t="s">
        <v>2246</v>
      </c>
    </row>
    <row r="255" spans="1:2" ht="15" x14ac:dyDescent="0.2">
      <c r="A255" s="49">
        <v>7395</v>
      </c>
      <c r="B255" s="219" t="s">
        <v>2247</v>
      </c>
    </row>
    <row r="256" spans="1:2" ht="15" x14ac:dyDescent="0.2">
      <c r="A256" s="49">
        <v>7399</v>
      </c>
      <c r="B256" s="219" t="s">
        <v>2248</v>
      </c>
    </row>
    <row r="257" spans="1:2" ht="15" x14ac:dyDescent="0.2">
      <c r="A257" s="49">
        <v>7511</v>
      </c>
      <c r="B257" s="219" t="s">
        <v>2249</v>
      </c>
    </row>
    <row r="258" spans="1:2" ht="15" x14ac:dyDescent="0.2">
      <c r="A258" s="49">
        <v>7512</v>
      </c>
      <c r="B258" s="219" t="s">
        <v>2250</v>
      </c>
    </row>
    <row r="259" spans="1:2" ht="15" x14ac:dyDescent="0.2">
      <c r="A259" s="49">
        <v>7513</v>
      </c>
      <c r="B259" s="219" t="s">
        <v>2251</v>
      </c>
    </row>
    <row r="260" spans="1:2" ht="15" x14ac:dyDescent="0.2">
      <c r="A260" s="49">
        <v>7519</v>
      </c>
      <c r="B260" s="219" t="s">
        <v>2252</v>
      </c>
    </row>
    <row r="261" spans="1:2" ht="15" x14ac:dyDescent="0.2">
      <c r="A261" s="49">
        <v>7523</v>
      </c>
      <c r="B261" s="219" t="s">
        <v>2253</v>
      </c>
    </row>
    <row r="262" spans="1:2" ht="15" x14ac:dyDescent="0.2">
      <c r="A262" s="49">
        <v>7524</v>
      </c>
      <c r="B262" s="219" t="s">
        <v>2254</v>
      </c>
    </row>
    <row r="263" spans="1:2" ht="15" x14ac:dyDescent="0.2">
      <c r="A263" s="49">
        <v>7531</v>
      </c>
      <c r="B263" s="219" t="s">
        <v>2255</v>
      </c>
    </row>
    <row r="264" spans="1:2" ht="15" x14ac:dyDescent="0.2">
      <c r="A264" s="49">
        <v>7534</v>
      </c>
      <c r="B264" s="219" t="s">
        <v>2256</v>
      </c>
    </row>
    <row r="265" spans="1:2" ht="15" x14ac:dyDescent="0.2">
      <c r="A265" s="49">
        <v>7535</v>
      </c>
      <c r="B265" s="219" t="s">
        <v>2257</v>
      </c>
    </row>
    <row r="266" spans="1:2" ht="15" x14ac:dyDescent="0.2">
      <c r="A266" s="49">
        <v>7538</v>
      </c>
      <c r="B266" s="219" t="s">
        <v>2258</v>
      </c>
    </row>
    <row r="267" spans="1:2" ht="15" x14ac:dyDescent="0.2">
      <c r="A267" s="49">
        <v>7539</v>
      </c>
      <c r="B267" s="219" t="s">
        <v>2259</v>
      </c>
    </row>
    <row r="268" spans="1:2" ht="15" x14ac:dyDescent="0.2">
      <c r="A268" s="49">
        <v>7542</v>
      </c>
      <c r="B268" s="219" t="s">
        <v>2260</v>
      </c>
    </row>
    <row r="269" spans="1:2" ht="15" x14ac:dyDescent="0.2">
      <c r="A269" s="49">
        <v>7549</v>
      </c>
      <c r="B269" s="219" t="s">
        <v>2261</v>
      </c>
    </row>
    <row r="270" spans="1:2" ht="15" x14ac:dyDescent="0.2">
      <c r="A270" s="49">
        <v>7622</v>
      </c>
      <c r="B270" s="219" t="s">
        <v>2262</v>
      </c>
    </row>
    <row r="271" spans="1:2" ht="15" x14ac:dyDescent="0.2">
      <c r="A271" s="49">
        <v>7623</v>
      </c>
      <c r="B271" s="219" t="s">
        <v>2263</v>
      </c>
    </row>
    <row r="272" spans="1:2" ht="15" x14ac:dyDescent="0.2">
      <c r="A272" s="49">
        <v>7629</v>
      </c>
      <c r="B272" s="219" t="s">
        <v>2264</v>
      </c>
    </row>
    <row r="273" spans="1:2" ht="15" x14ac:dyDescent="0.2">
      <c r="A273" s="49">
        <v>7631</v>
      </c>
      <c r="B273" s="219" t="s">
        <v>2265</v>
      </c>
    </row>
    <row r="274" spans="1:2" ht="15" x14ac:dyDescent="0.2">
      <c r="A274" s="49">
        <v>7641</v>
      </c>
      <c r="B274" s="219" t="s">
        <v>2266</v>
      </c>
    </row>
    <row r="275" spans="1:2" ht="15" x14ac:dyDescent="0.2">
      <c r="A275" s="49">
        <v>7692</v>
      </c>
      <c r="B275" s="219" t="s">
        <v>2267</v>
      </c>
    </row>
    <row r="276" spans="1:2" ht="15" x14ac:dyDescent="0.2">
      <c r="A276" s="49">
        <v>7699</v>
      </c>
      <c r="B276" s="219" t="s">
        <v>2268</v>
      </c>
    </row>
    <row r="277" spans="1:2" ht="15" x14ac:dyDescent="0.2">
      <c r="A277" s="49">
        <v>7800</v>
      </c>
      <c r="B277" s="219" t="s">
        <v>2269</v>
      </c>
    </row>
    <row r="278" spans="1:2" ht="15" x14ac:dyDescent="0.2">
      <c r="A278" s="49">
        <v>7801</v>
      </c>
      <c r="B278" s="219" t="s">
        <v>2270</v>
      </c>
    </row>
    <row r="279" spans="1:2" ht="15" x14ac:dyDescent="0.2">
      <c r="A279" s="49">
        <v>7802</v>
      </c>
      <c r="B279" s="219" t="s">
        <v>2271</v>
      </c>
    </row>
    <row r="280" spans="1:2" ht="15" x14ac:dyDescent="0.2">
      <c r="A280" s="49">
        <v>7829</v>
      </c>
      <c r="B280" s="219" t="s">
        <v>2272</v>
      </c>
    </row>
    <row r="281" spans="1:2" ht="15" x14ac:dyDescent="0.2">
      <c r="A281" s="49">
        <v>7832</v>
      </c>
      <c r="B281" s="219" t="s">
        <v>2273</v>
      </c>
    </row>
    <row r="282" spans="1:2" ht="15" x14ac:dyDescent="0.2">
      <c r="A282" s="49">
        <v>7833</v>
      </c>
      <c r="B282" s="219" t="s">
        <v>2274</v>
      </c>
    </row>
    <row r="283" spans="1:2" ht="15" x14ac:dyDescent="0.2">
      <c r="A283" s="49">
        <v>7841</v>
      </c>
      <c r="B283" s="219" t="s">
        <v>2275</v>
      </c>
    </row>
    <row r="284" spans="1:2" ht="15" x14ac:dyDescent="0.2">
      <c r="A284" s="49">
        <v>7911</v>
      </c>
      <c r="B284" s="219" t="s">
        <v>2276</v>
      </c>
    </row>
    <row r="285" spans="1:2" ht="15" x14ac:dyDescent="0.2">
      <c r="A285" s="49">
        <v>7922</v>
      </c>
      <c r="B285" s="219" t="s">
        <v>2277</v>
      </c>
    </row>
    <row r="286" spans="1:2" ht="15" x14ac:dyDescent="0.2">
      <c r="A286" s="49">
        <v>7929</v>
      </c>
      <c r="B286" s="219" t="s">
        <v>2278</v>
      </c>
    </row>
    <row r="287" spans="1:2" ht="15" x14ac:dyDescent="0.2">
      <c r="A287" s="49">
        <v>7932</v>
      </c>
      <c r="B287" s="219" t="s">
        <v>2279</v>
      </c>
    </row>
    <row r="288" spans="1:2" ht="15" x14ac:dyDescent="0.2">
      <c r="A288" s="49">
        <v>7933</v>
      </c>
      <c r="B288" s="219" t="s">
        <v>2280</v>
      </c>
    </row>
    <row r="289" spans="1:2" ht="15" x14ac:dyDescent="0.2">
      <c r="A289" s="49">
        <v>7941</v>
      </c>
      <c r="B289" s="219" t="s">
        <v>2281</v>
      </c>
    </row>
    <row r="290" spans="1:2" ht="15" x14ac:dyDescent="0.2">
      <c r="A290" s="49">
        <v>7991</v>
      </c>
      <c r="B290" s="219" t="s">
        <v>2282</v>
      </c>
    </row>
    <row r="291" spans="1:2" ht="15" x14ac:dyDescent="0.2">
      <c r="A291" s="49">
        <v>7992</v>
      </c>
      <c r="B291" s="219" t="s">
        <v>2283</v>
      </c>
    </row>
    <row r="292" spans="1:2" ht="15" x14ac:dyDescent="0.2">
      <c r="A292" s="49">
        <v>7993</v>
      </c>
      <c r="B292" s="219" t="s">
        <v>2284</v>
      </c>
    </row>
    <row r="293" spans="1:2" ht="15" x14ac:dyDescent="0.2">
      <c r="A293" s="49">
        <v>7994</v>
      </c>
      <c r="B293" s="219" t="s">
        <v>2285</v>
      </c>
    </row>
    <row r="294" spans="1:2" ht="15" x14ac:dyDescent="0.2">
      <c r="A294" s="49">
        <v>7995</v>
      </c>
      <c r="B294" s="219" t="s">
        <v>2286</v>
      </c>
    </row>
    <row r="295" spans="1:2" ht="15" x14ac:dyDescent="0.2">
      <c r="A295" s="49">
        <v>7996</v>
      </c>
      <c r="B295" s="219" t="s">
        <v>2287</v>
      </c>
    </row>
    <row r="296" spans="1:2" ht="15" x14ac:dyDescent="0.2">
      <c r="A296" s="49">
        <v>7997</v>
      </c>
      <c r="B296" s="219" t="s">
        <v>2288</v>
      </c>
    </row>
    <row r="297" spans="1:2" ht="15" x14ac:dyDescent="0.2">
      <c r="A297" s="49">
        <v>7998</v>
      </c>
      <c r="B297" s="219" t="s">
        <v>2289</v>
      </c>
    </row>
    <row r="298" spans="1:2" ht="15" x14ac:dyDescent="0.2">
      <c r="A298" s="49">
        <v>7999</v>
      </c>
      <c r="B298" s="219" t="s">
        <v>2290</v>
      </c>
    </row>
    <row r="299" spans="1:2" ht="15" x14ac:dyDescent="0.2">
      <c r="A299" s="49">
        <v>8011</v>
      </c>
      <c r="B299" s="219" t="s">
        <v>2291</v>
      </c>
    </row>
    <row r="300" spans="1:2" ht="15" x14ac:dyDescent="0.2">
      <c r="A300" s="49">
        <v>8021</v>
      </c>
      <c r="B300" s="219" t="s">
        <v>2292</v>
      </c>
    </row>
    <row r="301" spans="1:2" ht="15" x14ac:dyDescent="0.2">
      <c r="A301" s="49">
        <v>8031</v>
      </c>
      <c r="B301" s="219" t="s">
        <v>2293</v>
      </c>
    </row>
    <row r="302" spans="1:2" ht="15" x14ac:dyDescent="0.2">
      <c r="A302" s="49">
        <v>8041</v>
      </c>
      <c r="B302" s="219" t="s">
        <v>2294</v>
      </c>
    </row>
    <row r="303" spans="1:2" ht="15" x14ac:dyDescent="0.2">
      <c r="A303" s="49">
        <v>8042</v>
      </c>
      <c r="B303" s="219" t="s">
        <v>2295</v>
      </c>
    </row>
    <row r="304" spans="1:2" ht="15" x14ac:dyDescent="0.2">
      <c r="A304" s="49">
        <v>8043</v>
      </c>
      <c r="B304" s="219" t="s">
        <v>2296</v>
      </c>
    </row>
    <row r="305" spans="1:2" ht="15" x14ac:dyDescent="0.2">
      <c r="A305" s="49">
        <v>8044</v>
      </c>
      <c r="B305" s="219" t="s">
        <v>2297</v>
      </c>
    </row>
    <row r="306" spans="1:2" ht="15" x14ac:dyDescent="0.2">
      <c r="A306" s="49">
        <v>8049</v>
      </c>
      <c r="B306" s="219" t="s">
        <v>2298</v>
      </c>
    </row>
    <row r="307" spans="1:2" ht="15" x14ac:dyDescent="0.2">
      <c r="A307" s="49">
        <v>8050</v>
      </c>
      <c r="B307" s="219" t="s">
        <v>2299</v>
      </c>
    </row>
    <row r="308" spans="1:2" ht="15" x14ac:dyDescent="0.2">
      <c r="A308" s="49">
        <v>8062</v>
      </c>
      <c r="B308" s="219" t="s">
        <v>2300</v>
      </c>
    </row>
    <row r="309" spans="1:2" ht="15" x14ac:dyDescent="0.2">
      <c r="A309" s="49">
        <v>8071</v>
      </c>
      <c r="B309" s="219" t="s">
        <v>2301</v>
      </c>
    </row>
    <row r="310" spans="1:2" ht="15" x14ac:dyDescent="0.2">
      <c r="A310" s="49">
        <v>8099</v>
      </c>
      <c r="B310" s="219" t="s">
        <v>2302</v>
      </c>
    </row>
    <row r="311" spans="1:2" ht="15" x14ac:dyDescent="0.2">
      <c r="A311" s="49">
        <v>8111</v>
      </c>
      <c r="B311" s="219" t="s">
        <v>2303</v>
      </c>
    </row>
    <row r="312" spans="1:2" ht="15" x14ac:dyDescent="0.2">
      <c r="A312" s="49">
        <v>8211</v>
      </c>
      <c r="B312" s="219" t="s">
        <v>2304</v>
      </c>
    </row>
    <row r="313" spans="1:2" ht="15" x14ac:dyDescent="0.2">
      <c r="A313" s="49">
        <v>8220</v>
      </c>
      <c r="B313" s="219" t="s">
        <v>2305</v>
      </c>
    </row>
    <row r="314" spans="1:2" ht="15" x14ac:dyDescent="0.2">
      <c r="A314" s="49">
        <v>8241</v>
      </c>
      <c r="B314" s="219" t="s">
        <v>2306</v>
      </c>
    </row>
    <row r="315" spans="1:2" ht="15" x14ac:dyDescent="0.2">
      <c r="A315" s="49">
        <v>8244</v>
      </c>
      <c r="B315" s="219" t="s">
        <v>2307</v>
      </c>
    </row>
    <row r="316" spans="1:2" ht="15" x14ac:dyDescent="0.2">
      <c r="A316" s="49">
        <v>8249</v>
      </c>
      <c r="B316" s="219" t="s">
        <v>2308</v>
      </c>
    </row>
    <row r="317" spans="1:2" ht="15" x14ac:dyDescent="0.2">
      <c r="A317" s="49">
        <v>8299</v>
      </c>
      <c r="B317" s="219" t="s">
        <v>2309</v>
      </c>
    </row>
    <row r="318" spans="1:2" ht="15" x14ac:dyDescent="0.2">
      <c r="A318" s="49">
        <v>8351</v>
      </c>
      <c r="B318" s="219" t="s">
        <v>2310</v>
      </c>
    </row>
    <row r="319" spans="1:2" ht="15" x14ac:dyDescent="0.2">
      <c r="A319" s="49">
        <v>8398</v>
      </c>
      <c r="B319" s="219" t="s">
        <v>2311</v>
      </c>
    </row>
    <row r="320" spans="1:2" ht="15" x14ac:dyDescent="0.2">
      <c r="A320" s="49">
        <v>8641</v>
      </c>
      <c r="B320" s="219" t="s">
        <v>2312</v>
      </c>
    </row>
    <row r="321" spans="1:2" ht="15" x14ac:dyDescent="0.2">
      <c r="A321" s="49">
        <v>8651</v>
      </c>
      <c r="B321" s="219" t="s">
        <v>2313</v>
      </c>
    </row>
    <row r="322" spans="1:2" ht="15" x14ac:dyDescent="0.2">
      <c r="A322" s="49">
        <v>8661</v>
      </c>
      <c r="B322" s="219" t="s">
        <v>2314</v>
      </c>
    </row>
    <row r="323" spans="1:2" ht="15" x14ac:dyDescent="0.2">
      <c r="A323" s="49">
        <v>8675</v>
      </c>
      <c r="B323" s="219" t="s">
        <v>2315</v>
      </c>
    </row>
    <row r="324" spans="1:2" ht="15" x14ac:dyDescent="0.2">
      <c r="A324" s="49">
        <v>8699</v>
      </c>
      <c r="B324" s="219" t="s">
        <v>2316</v>
      </c>
    </row>
    <row r="325" spans="1:2" ht="15" x14ac:dyDescent="0.2">
      <c r="A325" s="49">
        <v>8734</v>
      </c>
      <c r="B325" s="219" t="s">
        <v>2317</v>
      </c>
    </row>
    <row r="326" spans="1:2" ht="15" x14ac:dyDescent="0.2">
      <c r="A326" s="49">
        <v>8911</v>
      </c>
      <c r="B326" s="219" t="s">
        <v>2318</v>
      </c>
    </row>
    <row r="327" spans="1:2" ht="15" x14ac:dyDescent="0.2">
      <c r="A327" s="49">
        <v>8931</v>
      </c>
      <c r="B327" s="219" t="s">
        <v>2319</v>
      </c>
    </row>
    <row r="328" spans="1:2" ht="15" x14ac:dyDescent="0.2">
      <c r="A328" s="49">
        <v>8999</v>
      </c>
      <c r="B328" s="219" t="s">
        <v>2320</v>
      </c>
    </row>
    <row r="329" spans="1:2" ht="15" x14ac:dyDescent="0.2">
      <c r="A329" s="49">
        <v>9034</v>
      </c>
      <c r="B329" s="219" t="s">
        <v>2321</v>
      </c>
    </row>
    <row r="330" spans="1:2" ht="15" x14ac:dyDescent="0.2">
      <c r="A330" s="49">
        <v>9211</v>
      </c>
      <c r="B330" s="219" t="s">
        <v>2322</v>
      </c>
    </row>
    <row r="331" spans="1:2" ht="15" x14ac:dyDescent="0.2">
      <c r="A331" s="49">
        <v>9222</v>
      </c>
      <c r="B331" s="219" t="s">
        <v>2323</v>
      </c>
    </row>
    <row r="332" spans="1:2" ht="15" x14ac:dyDescent="0.2">
      <c r="A332" s="49">
        <v>9223</v>
      </c>
      <c r="B332" s="219" t="s">
        <v>2324</v>
      </c>
    </row>
    <row r="333" spans="1:2" ht="15" x14ac:dyDescent="0.2">
      <c r="A333" s="49">
        <v>9311</v>
      </c>
      <c r="B333" s="219" t="s">
        <v>2325</v>
      </c>
    </row>
    <row r="334" spans="1:2" ht="15" x14ac:dyDescent="0.2">
      <c r="A334" s="49">
        <v>9399</v>
      </c>
      <c r="B334" s="219" t="s">
        <v>2326</v>
      </c>
    </row>
    <row r="335" spans="1:2" ht="15" x14ac:dyDescent="0.2">
      <c r="A335" s="49">
        <v>9402</v>
      </c>
      <c r="B335" s="219" t="s">
        <v>2327</v>
      </c>
    </row>
    <row r="336" spans="1:2" ht="15" x14ac:dyDescent="0.2">
      <c r="A336" s="49">
        <v>9405</v>
      </c>
      <c r="B336" s="219" t="s">
        <v>2328</v>
      </c>
    </row>
    <row r="337" spans="1:2" ht="15" x14ac:dyDescent="0.2">
      <c r="A337" s="49">
        <v>9406</v>
      </c>
      <c r="B337" s="219" t="s">
        <v>2329</v>
      </c>
    </row>
    <row r="338" spans="1:2" ht="15" x14ac:dyDescent="0.2">
      <c r="A338" s="49">
        <v>9700</v>
      </c>
      <c r="B338" s="219" t="s">
        <v>2330</v>
      </c>
    </row>
    <row r="339" spans="1:2" ht="15" x14ac:dyDescent="0.2">
      <c r="A339" s="49">
        <v>9701</v>
      </c>
      <c r="B339" s="219" t="s">
        <v>2331</v>
      </c>
    </row>
    <row r="340" spans="1:2" ht="15" x14ac:dyDescent="0.2">
      <c r="A340" s="49">
        <v>9702</v>
      </c>
      <c r="B340" s="219" t="s">
        <v>2332</v>
      </c>
    </row>
    <row r="341" spans="1:2" ht="15" x14ac:dyDescent="0.2">
      <c r="A341" s="49">
        <v>9751</v>
      </c>
      <c r="B341" s="219" t="s">
        <v>2333</v>
      </c>
    </row>
    <row r="342" spans="1:2" ht="15" x14ac:dyDescent="0.2">
      <c r="A342" s="49">
        <v>9752</v>
      </c>
      <c r="B342" s="219" t="s">
        <v>2334</v>
      </c>
    </row>
    <row r="343" spans="1:2" ht="15" x14ac:dyDescent="0.2">
      <c r="A343" s="49">
        <v>9754</v>
      </c>
      <c r="B343" s="219" t="s">
        <v>2335</v>
      </c>
    </row>
    <row r="344" spans="1:2" ht="15" x14ac:dyDescent="0.2">
      <c r="A344" s="49">
        <v>9950</v>
      </c>
      <c r="B344" s="219" t="s">
        <v>2336</v>
      </c>
    </row>
    <row r="345" spans="1:2" ht="15" x14ac:dyDescent="0.2">
      <c r="A345" s="49" t="s">
        <v>2337</v>
      </c>
      <c r="B345" s="219" t="s">
        <v>2338</v>
      </c>
    </row>
  </sheetData>
  <pageMargins left="0.7" right="0.7" top="0.75" bottom="0.75" header="0.3" footer="0.3"/>
  <pageSetup paperSize="9"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A26"/>
  <sheetViews>
    <sheetView zoomScale="115" zoomScaleNormal="115" workbookViewId="0"/>
  </sheetViews>
  <sheetFormatPr defaultRowHeight="14.25" x14ac:dyDescent="0.2"/>
  <cols>
    <col min="1" max="1" width="6.75" style="203" customWidth="1"/>
    <col min="2" max="2" width="4" style="203" customWidth="1"/>
    <col min="3" max="4" width="9" style="203"/>
    <col min="5" max="5" width="5.625" style="203" customWidth="1"/>
    <col min="6" max="7" width="9" style="203"/>
    <col min="8" max="9" width="4" style="203" customWidth="1"/>
    <col min="10" max="11" width="9" style="203"/>
    <col min="12" max="12" width="5.625" style="203" customWidth="1"/>
    <col min="13" max="14" width="9" style="203"/>
    <col min="15" max="15" width="5.625" style="203" customWidth="1"/>
    <col min="16" max="17" width="9" style="203"/>
    <col min="18" max="19" width="4" style="203" customWidth="1"/>
    <col min="20" max="21" width="9" style="203"/>
    <col min="22" max="22" width="5.625" style="203" customWidth="1"/>
    <col min="23" max="24" width="9" style="203"/>
    <col min="25" max="25" width="7.125" style="203" customWidth="1"/>
    <col min="26" max="16384" width="9" style="203"/>
  </cols>
  <sheetData>
    <row r="1" spans="1:25" x14ac:dyDescent="0.2">
      <c r="A1" s="202" t="str">
        <f ca="1">HYPERLINK("#" &amp; CELL("address",INDEX!$A$1), "Go back to INDEX")</f>
        <v>Go back to INDEX</v>
      </c>
    </row>
    <row r="2" spans="1:25" ht="15" thickBot="1" x14ac:dyDescent="0.25">
      <c r="A2" s="36"/>
    </row>
    <row r="3" spans="1:25" ht="23.25" customHeight="1" thickBot="1" x14ac:dyDescent="0.25">
      <c r="B3" s="261" t="s">
        <v>2419</v>
      </c>
      <c r="C3" s="262"/>
      <c r="D3" s="262"/>
      <c r="E3" s="262"/>
      <c r="F3" s="262"/>
      <c r="G3" s="262"/>
      <c r="H3" s="262"/>
      <c r="I3" s="262"/>
      <c r="J3" s="262"/>
      <c r="K3" s="262"/>
      <c r="L3" s="262"/>
      <c r="M3" s="262"/>
      <c r="N3" s="262"/>
      <c r="O3" s="262"/>
      <c r="P3" s="262"/>
      <c r="Q3" s="262"/>
      <c r="R3" s="262"/>
      <c r="S3" s="262"/>
      <c r="T3" s="262"/>
      <c r="U3" s="262"/>
      <c r="V3" s="262"/>
      <c r="W3" s="262"/>
      <c r="X3" s="262"/>
      <c r="Y3" s="263"/>
    </row>
    <row r="5" spans="1:25" ht="39.75" customHeight="1" x14ac:dyDescent="0.2">
      <c r="B5" s="260" t="s">
        <v>2427</v>
      </c>
      <c r="C5" s="260"/>
      <c r="D5" s="260"/>
      <c r="E5" s="260"/>
      <c r="F5" s="260"/>
      <c r="G5" s="260"/>
      <c r="H5" s="260"/>
      <c r="I5" s="260"/>
      <c r="J5" s="260"/>
      <c r="K5" s="260"/>
      <c r="L5" s="260"/>
      <c r="M5" s="260"/>
      <c r="N5" s="260" t="s">
        <v>2428</v>
      </c>
      <c r="O5" s="260"/>
      <c r="P5" s="260"/>
      <c r="Q5" s="260"/>
      <c r="R5" s="260"/>
      <c r="S5" s="260"/>
      <c r="T5" s="260"/>
      <c r="U5" s="260"/>
      <c r="V5" s="260"/>
      <c r="W5" s="260"/>
      <c r="X5" s="260"/>
      <c r="Y5" s="260"/>
    </row>
    <row r="6" spans="1:25" x14ac:dyDescent="0.2">
      <c r="A6" s="276" t="s">
        <v>2430</v>
      </c>
      <c r="B6" s="227"/>
      <c r="C6" s="228"/>
      <c r="D6" s="228"/>
      <c r="E6" s="228"/>
      <c r="F6" s="228"/>
      <c r="G6" s="228"/>
      <c r="H6" s="229"/>
      <c r="I6" s="227"/>
      <c r="J6" s="228"/>
      <c r="K6" s="228"/>
      <c r="L6" s="228"/>
      <c r="M6" s="228"/>
      <c r="N6" s="228"/>
      <c r="O6" s="228"/>
      <c r="P6" s="228"/>
      <c r="Q6" s="228"/>
      <c r="R6" s="229"/>
      <c r="S6" s="227"/>
      <c r="T6" s="228"/>
      <c r="U6" s="228"/>
      <c r="V6" s="228"/>
      <c r="W6" s="228"/>
      <c r="X6" s="228"/>
      <c r="Y6" s="229"/>
    </row>
    <row r="7" spans="1:25" s="205" customFormat="1" ht="15" x14ac:dyDescent="0.2">
      <c r="A7" s="276"/>
      <c r="B7" s="230"/>
      <c r="C7" s="270" t="s">
        <v>2421</v>
      </c>
      <c r="D7" s="271"/>
      <c r="E7" s="220"/>
      <c r="F7" s="270" t="s">
        <v>779</v>
      </c>
      <c r="G7" s="271"/>
      <c r="H7" s="231"/>
      <c r="I7" s="230"/>
      <c r="J7" s="270" t="s">
        <v>2423</v>
      </c>
      <c r="K7" s="271"/>
      <c r="L7" s="221"/>
      <c r="M7" s="270" t="s">
        <v>2432</v>
      </c>
      <c r="N7" s="271"/>
      <c r="O7" s="221"/>
      <c r="P7" s="270" t="s">
        <v>2423</v>
      </c>
      <c r="Q7" s="271"/>
      <c r="R7" s="237"/>
      <c r="S7" s="240"/>
      <c r="T7" s="270" t="s">
        <v>780</v>
      </c>
      <c r="U7" s="271"/>
      <c r="V7" s="221"/>
      <c r="W7" s="270" t="s">
        <v>2426</v>
      </c>
      <c r="X7" s="271"/>
      <c r="Y7" s="231"/>
    </row>
    <row r="8" spans="1:25" ht="14.25" customHeight="1" x14ac:dyDescent="0.2">
      <c r="A8" s="276"/>
      <c r="B8" s="232"/>
      <c r="C8" s="272" t="s">
        <v>2422</v>
      </c>
      <c r="D8" s="273"/>
      <c r="E8" s="222"/>
      <c r="F8" s="272"/>
      <c r="G8" s="273"/>
      <c r="H8" s="233"/>
      <c r="I8" s="232"/>
      <c r="J8" s="272" t="s">
        <v>2424</v>
      </c>
      <c r="K8" s="273"/>
      <c r="L8" s="223"/>
      <c r="M8" s="272"/>
      <c r="N8" s="273"/>
      <c r="O8" s="223"/>
      <c r="P8" s="272" t="s">
        <v>2425</v>
      </c>
      <c r="Q8" s="273"/>
      <c r="R8" s="238"/>
      <c r="S8" s="241"/>
      <c r="T8" s="272"/>
      <c r="U8" s="273"/>
      <c r="V8" s="223"/>
      <c r="W8" s="272" t="s">
        <v>2437</v>
      </c>
      <c r="X8" s="273"/>
      <c r="Y8" s="233"/>
    </row>
    <row r="9" spans="1:25" ht="14.25" customHeight="1" x14ac:dyDescent="0.2">
      <c r="A9" s="276"/>
      <c r="B9" s="232"/>
      <c r="C9" s="274"/>
      <c r="D9" s="275"/>
      <c r="E9" s="222"/>
      <c r="F9" s="274"/>
      <c r="G9" s="275"/>
      <c r="H9" s="233"/>
      <c r="I9" s="232"/>
      <c r="J9" s="274"/>
      <c r="K9" s="275"/>
      <c r="L9" s="223"/>
      <c r="M9" s="274"/>
      <c r="N9" s="275"/>
      <c r="O9" s="223"/>
      <c r="P9" s="274"/>
      <c r="Q9" s="275"/>
      <c r="R9" s="238"/>
      <c r="S9" s="241"/>
      <c r="T9" s="274"/>
      <c r="U9" s="275"/>
      <c r="V9" s="223"/>
      <c r="W9" s="274"/>
      <c r="X9" s="275"/>
      <c r="Y9" s="233"/>
    </row>
    <row r="10" spans="1:25" x14ac:dyDescent="0.2">
      <c r="A10" s="276"/>
      <c r="B10" s="232"/>
      <c r="C10" s="223"/>
      <c r="D10" s="223"/>
      <c r="E10" s="223"/>
      <c r="F10" s="223"/>
      <c r="G10" s="223"/>
      <c r="H10" s="233"/>
      <c r="I10" s="232"/>
      <c r="J10" s="223"/>
      <c r="K10" s="223"/>
      <c r="L10" s="223"/>
      <c r="M10" s="223"/>
      <c r="N10" s="223"/>
      <c r="O10" s="223"/>
      <c r="P10" s="223"/>
      <c r="Q10" s="223"/>
      <c r="R10" s="233"/>
      <c r="S10" s="232"/>
      <c r="T10" s="223"/>
      <c r="U10" s="223"/>
      <c r="V10" s="223"/>
      <c r="W10" s="223"/>
      <c r="X10" s="223"/>
      <c r="Y10" s="233"/>
    </row>
    <row r="11" spans="1:25" ht="14.25" customHeight="1" x14ac:dyDescent="0.2">
      <c r="A11" s="277" t="s">
        <v>2429</v>
      </c>
      <c r="B11" s="234"/>
      <c r="C11" s="224"/>
      <c r="D11" s="224"/>
      <c r="E11" s="224"/>
      <c r="F11" s="224"/>
      <c r="G11" s="224"/>
      <c r="H11" s="235"/>
      <c r="I11" s="234"/>
      <c r="J11" s="224"/>
      <c r="K11" s="224"/>
      <c r="L11" s="224"/>
      <c r="M11" s="224"/>
      <c r="N11" s="224"/>
      <c r="O11" s="224"/>
      <c r="P11" s="224"/>
      <c r="Q11" s="224"/>
      <c r="R11" s="235"/>
      <c r="S11" s="234"/>
      <c r="T11" s="224"/>
      <c r="U11" s="224"/>
      <c r="V11" s="224"/>
      <c r="W11" s="224"/>
      <c r="X11" s="224"/>
      <c r="Y11" s="235"/>
    </row>
    <row r="12" spans="1:25" ht="15" customHeight="1" x14ac:dyDescent="0.2">
      <c r="A12" s="277"/>
      <c r="B12" s="234"/>
      <c r="C12" s="224"/>
      <c r="D12" s="224"/>
      <c r="E12" s="224"/>
      <c r="F12" s="224"/>
      <c r="G12" s="224"/>
      <c r="H12" s="235"/>
      <c r="I12" s="234"/>
      <c r="J12" s="224"/>
      <c r="K12" s="224"/>
      <c r="L12" s="224"/>
      <c r="M12" s="224"/>
      <c r="N12" s="224"/>
      <c r="O12" s="224"/>
      <c r="P12" s="224"/>
      <c r="Q12" s="224"/>
      <c r="R12" s="235"/>
      <c r="S12" s="234"/>
      <c r="T12" s="224"/>
      <c r="U12" s="224"/>
      <c r="V12" s="224"/>
      <c r="W12" s="224"/>
      <c r="X12" s="224"/>
      <c r="Y12" s="235"/>
    </row>
    <row r="13" spans="1:25" ht="14.25" customHeight="1" x14ac:dyDescent="0.2">
      <c r="A13" s="277"/>
      <c r="B13" s="234"/>
      <c r="C13" s="224"/>
      <c r="D13" s="224"/>
      <c r="E13" s="224"/>
      <c r="F13" s="264" t="s">
        <v>1411</v>
      </c>
      <c r="G13" s="265"/>
      <c r="H13" s="235"/>
      <c r="I13" s="234"/>
      <c r="J13" s="264" t="s">
        <v>1411</v>
      </c>
      <c r="K13" s="265"/>
      <c r="L13" s="224"/>
      <c r="M13" s="224"/>
      <c r="N13" s="224"/>
      <c r="O13" s="224"/>
      <c r="P13" s="264" t="s">
        <v>1411</v>
      </c>
      <c r="Q13" s="265"/>
      <c r="R13" s="235"/>
      <c r="S13" s="234"/>
      <c r="T13" s="264" t="s">
        <v>1411</v>
      </c>
      <c r="U13" s="265"/>
      <c r="V13" s="224"/>
      <c r="W13" s="224"/>
      <c r="X13" s="224"/>
      <c r="Y13" s="235"/>
    </row>
    <row r="14" spans="1:25" ht="14.25" customHeight="1" x14ac:dyDescent="0.2">
      <c r="A14" s="277"/>
      <c r="B14" s="234"/>
      <c r="C14" s="224"/>
      <c r="D14" s="224"/>
      <c r="E14" s="224"/>
      <c r="F14" s="266"/>
      <c r="G14" s="267"/>
      <c r="H14" s="235"/>
      <c r="I14" s="234"/>
      <c r="J14" s="266"/>
      <c r="K14" s="267"/>
      <c r="L14" s="224"/>
      <c r="M14" s="224"/>
      <c r="N14" s="224"/>
      <c r="O14" s="224"/>
      <c r="P14" s="266"/>
      <c r="Q14" s="267"/>
      <c r="R14" s="235"/>
      <c r="S14" s="234"/>
      <c r="T14" s="266"/>
      <c r="U14" s="267"/>
      <c r="V14" s="224"/>
      <c r="W14" s="224"/>
      <c r="X14" s="224"/>
      <c r="Y14" s="235"/>
    </row>
    <row r="15" spans="1:25" ht="14.25" customHeight="1" x14ac:dyDescent="0.2">
      <c r="A15" s="277"/>
      <c r="B15" s="234"/>
      <c r="C15" s="224"/>
      <c r="D15" s="224"/>
      <c r="E15" s="224"/>
      <c r="F15" s="268"/>
      <c r="G15" s="269"/>
      <c r="H15" s="235"/>
      <c r="I15" s="234"/>
      <c r="J15" s="268"/>
      <c r="K15" s="269"/>
      <c r="L15" s="224"/>
      <c r="M15" s="224"/>
      <c r="N15" s="224"/>
      <c r="O15" s="224"/>
      <c r="P15" s="268"/>
      <c r="Q15" s="269"/>
      <c r="R15" s="235"/>
      <c r="S15" s="234"/>
      <c r="T15" s="268"/>
      <c r="U15" s="269"/>
      <c r="V15" s="224"/>
      <c r="W15" s="224"/>
      <c r="X15" s="224"/>
      <c r="Y15" s="235"/>
    </row>
    <row r="16" spans="1:25" x14ac:dyDescent="0.2">
      <c r="A16" s="277"/>
      <c r="B16" s="234"/>
      <c r="C16" s="224"/>
      <c r="D16" s="224"/>
      <c r="E16" s="224"/>
      <c r="F16" s="224"/>
      <c r="G16" s="224"/>
      <c r="H16" s="235"/>
      <c r="I16" s="234"/>
      <c r="J16" s="224"/>
      <c r="K16" s="224"/>
      <c r="L16" s="224"/>
      <c r="M16" s="224"/>
      <c r="N16" s="224"/>
      <c r="O16" s="224"/>
      <c r="P16" s="224"/>
      <c r="Q16" s="224"/>
      <c r="R16" s="235"/>
      <c r="S16" s="234"/>
      <c r="T16" s="224"/>
      <c r="U16" s="224"/>
      <c r="V16" s="224"/>
      <c r="W16" s="224"/>
      <c r="X16" s="224"/>
      <c r="Y16" s="235"/>
    </row>
    <row r="17" spans="1:27" x14ac:dyDescent="0.2">
      <c r="A17" s="277"/>
      <c r="B17" s="234"/>
      <c r="C17" s="226"/>
      <c r="D17" s="226"/>
      <c r="E17" s="226"/>
      <c r="F17" s="226"/>
      <c r="G17" s="226"/>
      <c r="H17" s="236"/>
      <c r="I17" s="239"/>
      <c r="J17" s="226"/>
      <c r="K17" s="226"/>
      <c r="L17" s="226"/>
      <c r="M17" s="226"/>
      <c r="N17" s="226"/>
      <c r="O17" s="226"/>
      <c r="P17" s="226"/>
      <c r="Q17" s="226"/>
      <c r="R17" s="236"/>
      <c r="S17" s="239"/>
      <c r="T17" s="226"/>
      <c r="U17" s="226"/>
      <c r="V17" s="226"/>
      <c r="W17" s="226"/>
      <c r="X17" s="226"/>
      <c r="Y17" s="235"/>
    </row>
    <row r="18" spans="1:27" ht="18" x14ac:dyDescent="0.2">
      <c r="A18" s="277"/>
      <c r="B18" s="278" t="s">
        <v>2429</v>
      </c>
      <c r="C18" s="279"/>
      <c r="D18" s="279"/>
      <c r="E18" s="279"/>
      <c r="F18" s="279"/>
      <c r="G18" s="279"/>
      <c r="H18" s="280"/>
      <c r="I18" s="278" t="s">
        <v>2429</v>
      </c>
      <c r="J18" s="279"/>
      <c r="K18" s="279"/>
      <c r="L18" s="279"/>
      <c r="M18" s="279"/>
      <c r="N18" s="279"/>
      <c r="O18" s="279"/>
      <c r="P18" s="279"/>
      <c r="Q18" s="279"/>
      <c r="R18" s="280"/>
      <c r="S18" s="278" t="s">
        <v>2429</v>
      </c>
      <c r="T18" s="279"/>
      <c r="U18" s="279"/>
      <c r="V18" s="279"/>
      <c r="W18" s="279"/>
      <c r="X18" s="279"/>
      <c r="Y18" s="280"/>
      <c r="Z18" s="225"/>
      <c r="AA18" s="225"/>
    </row>
    <row r="19" spans="1:27" ht="14.25" customHeight="1" x14ac:dyDescent="0.2">
      <c r="A19" s="277"/>
      <c r="B19" s="281" t="s">
        <v>2562</v>
      </c>
      <c r="C19" s="282"/>
      <c r="D19" s="282"/>
      <c r="E19" s="282"/>
      <c r="F19" s="282"/>
      <c r="G19" s="282"/>
      <c r="H19" s="283"/>
      <c r="I19" s="281" t="s">
        <v>2431</v>
      </c>
      <c r="J19" s="282"/>
      <c r="K19" s="282"/>
      <c r="L19" s="282"/>
      <c r="M19" s="282"/>
      <c r="N19" s="282"/>
      <c r="O19" s="282"/>
      <c r="P19" s="282"/>
      <c r="Q19" s="282"/>
      <c r="R19" s="283"/>
      <c r="S19" s="281" t="s">
        <v>2563</v>
      </c>
      <c r="T19" s="282"/>
      <c r="U19" s="282"/>
      <c r="V19" s="282"/>
      <c r="W19" s="282"/>
      <c r="X19" s="282"/>
      <c r="Y19" s="283"/>
    </row>
    <row r="20" spans="1:27" ht="14.25" customHeight="1" x14ac:dyDescent="0.2">
      <c r="A20" s="277"/>
      <c r="B20" s="281"/>
      <c r="C20" s="282"/>
      <c r="D20" s="282"/>
      <c r="E20" s="282"/>
      <c r="F20" s="282"/>
      <c r="G20" s="282"/>
      <c r="H20" s="283"/>
      <c r="I20" s="281"/>
      <c r="J20" s="282"/>
      <c r="K20" s="282"/>
      <c r="L20" s="282"/>
      <c r="M20" s="282"/>
      <c r="N20" s="282"/>
      <c r="O20" s="282"/>
      <c r="P20" s="282"/>
      <c r="Q20" s="282"/>
      <c r="R20" s="283"/>
      <c r="S20" s="281"/>
      <c r="T20" s="282"/>
      <c r="U20" s="282"/>
      <c r="V20" s="282"/>
      <c r="W20" s="282"/>
      <c r="X20" s="282"/>
      <c r="Y20" s="283"/>
    </row>
    <row r="21" spans="1:27" ht="14.25" customHeight="1" x14ac:dyDescent="0.2">
      <c r="A21" s="277"/>
      <c r="B21" s="281"/>
      <c r="C21" s="282"/>
      <c r="D21" s="282"/>
      <c r="E21" s="282"/>
      <c r="F21" s="282"/>
      <c r="G21" s="282"/>
      <c r="H21" s="283"/>
      <c r="I21" s="281"/>
      <c r="J21" s="282"/>
      <c r="K21" s="282"/>
      <c r="L21" s="282"/>
      <c r="M21" s="282"/>
      <c r="N21" s="282"/>
      <c r="O21" s="282"/>
      <c r="P21" s="282"/>
      <c r="Q21" s="282"/>
      <c r="R21" s="283"/>
      <c r="S21" s="281"/>
      <c r="T21" s="282"/>
      <c r="U21" s="282"/>
      <c r="V21" s="282"/>
      <c r="W21" s="282"/>
      <c r="X21" s="282"/>
      <c r="Y21" s="283"/>
    </row>
    <row r="22" spans="1:27" ht="14.25" customHeight="1" x14ac:dyDescent="0.2">
      <c r="A22" s="277"/>
      <c r="B22" s="284"/>
      <c r="C22" s="285"/>
      <c r="D22" s="285"/>
      <c r="E22" s="285"/>
      <c r="F22" s="285"/>
      <c r="G22" s="285"/>
      <c r="H22" s="286"/>
      <c r="I22" s="284"/>
      <c r="J22" s="285"/>
      <c r="K22" s="285"/>
      <c r="L22" s="285"/>
      <c r="M22" s="285"/>
      <c r="N22" s="285"/>
      <c r="O22" s="285"/>
      <c r="P22" s="285"/>
      <c r="Q22" s="285"/>
      <c r="R22" s="286"/>
      <c r="S22" s="284"/>
      <c r="T22" s="285"/>
      <c r="U22" s="285"/>
      <c r="V22" s="285"/>
      <c r="W22" s="285"/>
      <c r="X22" s="285"/>
      <c r="Y22" s="286"/>
    </row>
    <row r="23" spans="1:27" ht="7.15" customHeight="1" x14ac:dyDescent="0.2"/>
    <row r="24" spans="1:27" x14ac:dyDescent="0.2">
      <c r="B24" s="203" t="s">
        <v>2433</v>
      </c>
    </row>
    <row r="25" spans="1:27" ht="19.5" x14ac:dyDescent="0.2">
      <c r="B25" s="203" t="s">
        <v>2561</v>
      </c>
    </row>
    <row r="26" spans="1:27" x14ac:dyDescent="0.2">
      <c r="B26" s="203" t="s">
        <v>2622</v>
      </c>
    </row>
  </sheetData>
  <mergeCells count="29">
    <mergeCell ref="T13:U15"/>
    <mergeCell ref="M7:N7"/>
    <mergeCell ref="M8:N9"/>
    <mergeCell ref="A6:A10"/>
    <mergeCell ref="A11:A22"/>
    <mergeCell ref="F13:G15"/>
    <mergeCell ref="J13:K15"/>
    <mergeCell ref="B18:H18"/>
    <mergeCell ref="B19:H22"/>
    <mergeCell ref="I19:R22"/>
    <mergeCell ref="S19:Y22"/>
    <mergeCell ref="I18:R18"/>
    <mergeCell ref="S18:Y18"/>
    <mergeCell ref="B5:M5"/>
    <mergeCell ref="N5:Y5"/>
    <mergeCell ref="B3:Y3"/>
    <mergeCell ref="P13:Q15"/>
    <mergeCell ref="W7:X7"/>
    <mergeCell ref="P8:Q9"/>
    <mergeCell ref="T8:U9"/>
    <mergeCell ref="W8:X9"/>
    <mergeCell ref="J7:K7"/>
    <mergeCell ref="J8:K9"/>
    <mergeCell ref="P7:Q7"/>
    <mergeCell ref="T7:U7"/>
    <mergeCell ref="C7:D7"/>
    <mergeCell ref="C8:D9"/>
    <mergeCell ref="F7:G7"/>
    <mergeCell ref="F8:G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A1:G18"/>
  <sheetViews>
    <sheetView workbookViewId="0"/>
  </sheetViews>
  <sheetFormatPr defaultRowHeight="14.25" x14ac:dyDescent="0.2"/>
  <cols>
    <col min="1" max="1" width="28.5" style="45" customWidth="1"/>
    <col min="2" max="2" width="18.625" style="46" customWidth="1"/>
    <col min="3" max="4" width="20.25" style="46" customWidth="1"/>
    <col min="5" max="5" width="64.75" customWidth="1"/>
  </cols>
  <sheetData>
    <row r="1" spans="1:7" x14ac:dyDescent="0.2">
      <c r="A1" s="36" t="str">
        <f ca="1">HYPERLINK("#" &amp; CELL("address",INDEX!$A$1), "Go back to INDEX")</f>
        <v>Go back to INDEX</v>
      </c>
    </row>
    <row r="2" spans="1:7" x14ac:dyDescent="0.2">
      <c r="A2" s="45" t="s">
        <v>740</v>
      </c>
    </row>
    <row r="3" spans="1:7" x14ac:dyDescent="0.2">
      <c r="A3" s="45" t="s">
        <v>741</v>
      </c>
    </row>
    <row r="5" spans="1:7" ht="20.25" x14ac:dyDescent="0.2">
      <c r="A5" s="47" t="s">
        <v>939</v>
      </c>
      <c r="B5" s="47" t="s">
        <v>1023</v>
      </c>
      <c r="C5" s="47" t="s">
        <v>1024</v>
      </c>
      <c r="D5" s="47" t="s">
        <v>1018</v>
      </c>
      <c r="E5" s="44" t="s">
        <v>0</v>
      </c>
      <c r="F5" s="34"/>
      <c r="G5" s="34"/>
    </row>
    <row r="6" spans="1:7" ht="42.75" x14ac:dyDescent="0.2">
      <c r="A6" s="45" t="s">
        <v>1019</v>
      </c>
      <c r="B6" s="45" t="s">
        <v>487</v>
      </c>
      <c r="C6" s="45" t="s">
        <v>487</v>
      </c>
      <c r="D6" s="45" t="s">
        <v>487</v>
      </c>
      <c r="E6" s="46" t="s">
        <v>942</v>
      </c>
      <c r="F6" s="45"/>
      <c r="G6" s="45"/>
    </row>
    <row r="7" spans="1:7" ht="42.75" x14ac:dyDescent="0.2">
      <c r="A7" s="45" t="s">
        <v>1019</v>
      </c>
      <c r="B7" s="45" t="s">
        <v>487</v>
      </c>
      <c r="C7" s="45" t="s">
        <v>487</v>
      </c>
      <c r="D7" s="45" t="s">
        <v>487</v>
      </c>
      <c r="E7" s="67" t="s">
        <v>943</v>
      </c>
      <c r="F7" s="45"/>
      <c r="G7" s="45"/>
    </row>
    <row r="8" spans="1:7" ht="28.5" x14ac:dyDescent="0.2">
      <c r="A8" s="45" t="s">
        <v>1019</v>
      </c>
      <c r="B8" s="45" t="s">
        <v>487</v>
      </c>
      <c r="C8" s="45" t="s">
        <v>487</v>
      </c>
      <c r="D8" s="45" t="s">
        <v>487</v>
      </c>
      <c r="E8" s="46" t="s">
        <v>758</v>
      </c>
    </row>
    <row r="9" spans="1:7" ht="28.5" x14ac:dyDescent="0.2">
      <c r="A9" s="45" t="s">
        <v>1019</v>
      </c>
      <c r="B9" s="58" t="s">
        <v>487</v>
      </c>
      <c r="C9" s="58" t="s">
        <v>487</v>
      </c>
      <c r="D9" s="58" t="s">
        <v>487</v>
      </c>
      <c r="E9" s="67" t="s">
        <v>1016</v>
      </c>
    </row>
    <row r="10" spans="1:7" ht="42.75" x14ac:dyDescent="0.2">
      <c r="A10" s="45" t="s">
        <v>1017</v>
      </c>
      <c r="B10" s="46" t="s">
        <v>1025</v>
      </c>
      <c r="C10" s="45"/>
      <c r="D10" s="45" t="s">
        <v>930</v>
      </c>
      <c r="E10" s="46" t="s">
        <v>742</v>
      </c>
    </row>
    <row r="11" spans="1:7" ht="42.75" x14ac:dyDescent="0.2">
      <c r="A11" s="45" t="s">
        <v>1027</v>
      </c>
      <c r="B11" s="46" t="s">
        <v>1028</v>
      </c>
      <c r="C11" s="45"/>
      <c r="D11" s="45" t="s">
        <v>743</v>
      </c>
      <c r="E11" s="46" t="s">
        <v>1020</v>
      </c>
    </row>
    <row r="12" spans="1:7" ht="42.75" x14ac:dyDescent="0.2">
      <c r="A12" s="45" t="s">
        <v>941</v>
      </c>
      <c r="B12" s="45" t="s">
        <v>1026</v>
      </c>
      <c r="C12" s="45"/>
      <c r="D12" s="45" t="s">
        <v>65</v>
      </c>
      <c r="E12" s="46" t="s">
        <v>1021</v>
      </c>
    </row>
    <row r="13" spans="1:7" ht="28.5" x14ac:dyDescent="0.2">
      <c r="A13" s="45" t="s">
        <v>941</v>
      </c>
      <c r="B13" s="45" t="s">
        <v>1026</v>
      </c>
      <c r="C13" s="45"/>
      <c r="D13" s="45" t="s">
        <v>65</v>
      </c>
      <c r="E13" s="46" t="s">
        <v>1022</v>
      </c>
    </row>
    <row r="14" spans="1:7" x14ac:dyDescent="0.2">
      <c r="A14" s="45" t="s">
        <v>940</v>
      </c>
      <c r="B14" s="45" t="s">
        <v>228</v>
      </c>
      <c r="C14" s="45"/>
      <c r="D14" s="45" t="s">
        <v>269</v>
      </c>
      <c r="E14" s="46" t="s">
        <v>1030</v>
      </c>
    </row>
    <row r="15" spans="1:7" ht="42.75" x14ac:dyDescent="0.2">
      <c r="A15" s="45" t="s">
        <v>940</v>
      </c>
      <c r="B15" s="45" t="s">
        <v>228</v>
      </c>
      <c r="C15" s="45"/>
      <c r="D15" s="45" t="s">
        <v>898</v>
      </c>
      <c r="E15" s="46" t="s">
        <v>1029</v>
      </c>
    </row>
    <row r="16" spans="1:7" x14ac:dyDescent="0.2">
      <c r="A16" s="45" t="s">
        <v>940</v>
      </c>
      <c r="B16" s="45" t="s">
        <v>228</v>
      </c>
      <c r="C16" s="45"/>
      <c r="D16" s="45" t="s">
        <v>89</v>
      </c>
      <c r="E16" s="46" t="s">
        <v>1031</v>
      </c>
    </row>
    <row r="17" spans="1:5" ht="42.75" x14ac:dyDescent="0.2">
      <c r="A17" s="45" t="s">
        <v>940</v>
      </c>
      <c r="B17" s="45" t="s">
        <v>228</v>
      </c>
      <c r="C17" s="45"/>
      <c r="D17" s="45" t="s">
        <v>462</v>
      </c>
      <c r="E17" s="46" t="s">
        <v>1032</v>
      </c>
    </row>
    <row r="18" spans="1:5" ht="28.5" x14ac:dyDescent="0.2">
      <c r="A18" s="45" t="s">
        <v>940</v>
      </c>
      <c r="B18" s="45" t="s">
        <v>228</v>
      </c>
      <c r="C18" s="45"/>
      <c r="D18" s="45" t="s">
        <v>1033</v>
      </c>
      <c r="E18" s="46" t="s">
        <v>1034</v>
      </c>
    </row>
  </sheetData>
  <pageMargins left="0.7" right="0.7" top="0.75" bottom="0.75" header="0.3" footer="0.3"/>
  <pageSetup paperSize="9"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1"/>
  </sheetPr>
  <dimension ref="A1:D33"/>
  <sheetViews>
    <sheetView workbookViewId="0"/>
  </sheetViews>
  <sheetFormatPr defaultRowHeight="14.25" x14ac:dyDescent="0.2"/>
  <cols>
    <col min="1" max="1" width="29.75" bestFit="1" customWidth="1"/>
    <col min="2" max="2" width="11.875" customWidth="1"/>
    <col min="3" max="3" width="134.25" bestFit="1" customWidth="1"/>
  </cols>
  <sheetData>
    <row r="1" spans="1:4" x14ac:dyDescent="0.2">
      <c r="A1" t="s">
        <v>1533</v>
      </c>
      <c r="B1" t="s">
        <v>1095</v>
      </c>
      <c r="C1" s="53" t="str">
        <f ca="1">HYPERLINK("#" &amp; CELL("address", 'V1.20+V1.20-F'!$A$2), "Customer credit transfers sent (payments)")</f>
        <v>Customer credit transfers sent (payments)</v>
      </c>
      <c r="D1" t="s">
        <v>1418</v>
      </c>
    </row>
    <row r="2" spans="1:4" x14ac:dyDescent="0.2">
      <c r="A2" t="s">
        <v>1533</v>
      </c>
      <c r="B2" t="s">
        <v>1540</v>
      </c>
      <c r="C2" s="53" t="str">
        <f ca="1">HYPERLINK("#" &amp; CELL("address", 'V1.20+V1.20-F'!$A$23), "Customer credit transfers sent (fraud)")</f>
        <v>Customer credit transfers sent (fraud)</v>
      </c>
      <c r="D2" t="s">
        <v>1418</v>
      </c>
    </row>
    <row r="3" spans="1:4" x14ac:dyDescent="0.2">
      <c r="A3" t="s">
        <v>1096</v>
      </c>
      <c r="B3" t="s">
        <v>1096</v>
      </c>
      <c r="C3" s="53" t="str">
        <f ca="1">HYPERLINK("#" &amp; CELL("address", 'V1.21'!$A$2), "Customer credit transfers received (payments)")</f>
        <v>Customer credit transfers received (payments)</v>
      </c>
      <c r="D3" t="s">
        <v>1418</v>
      </c>
    </row>
    <row r="4" spans="1:4" x14ac:dyDescent="0.2">
      <c r="A4" t="s">
        <v>373</v>
      </c>
      <c r="B4" t="s">
        <v>373</v>
      </c>
      <c r="C4" s="53" t="str">
        <f ca="1">HYPERLINK("#" &amp; CELL("address", 'V1.30+V1.30-F'!$A$2), "Direct debits - reporting as creditor's bank (payments)")</f>
        <v>Direct debits - reporting as creditor's bank (payments)</v>
      </c>
      <c r="D4" t="s">
        <v>1418</v>
      </c>
    </row>
    <row r="5" spans="1:4" x14ac:dyDescent="0.2">
      <c r="A5" t="s">
        <v>373</v>
      </c>
      <c r="B5" t="s">
        <v>1456</v>
      </c>
      <c r="C5" s="53" t="str">
        <f ca="1">HYPERLINK("#" &amp; CELL("address", 'V1.30+V1.30-F'!$A$23), "Direct debits - reporting as creditor's bank (fraud)")</f>
        <v>Direct debits - reporting as creditor's bank (fraud)</v>
      </c>
      <c r="D5" t="s">
        <v>1418</v>
      </c>
    </row>
    <row r="6" spans="1:4" x14ac:dyDescent="0.2">
      <c r="A6" t="s">
        <v>1097</v>
      </c>
      <c r="B6" t="s">
        <v>1097</v>
      </c>
      <c r="C6" s="53" t="str">
        <f ca="1">HYPERLINK("#" &amp; CELL("address", 'V1.31'!$A$2), "Direct debits - reporting as debtor's bank (payments)")</f>
        <v>Direct debits - reporting as debtor's bank (payments)</v>
      </c>
      <c r="D6" t="s">
        <v>1418</v>
      </c>
    </row>
    <row r="7" spans="1:4" x14ac:dyDescent="0.2">
      <c r="A7" t="s">
        <v>1457</v>
      </c>
      <c r="B7" t="s">
        <v>1457</v>
      </c>
      <c r="C7" s="53" t="str">
        <f ca="1">HYPERLINK("#" &amp; CELL("address", 'V1.40'!$A$2), "SEPA R-transactions")</f>
        <v>SEPA R-transactions</v>
      </c>
    </row>
    <row r="8" spans="1:4" x14ac:dyDescent="0.2">
      <c r="A8" t="s">
        <v>1458</v>
      </c>
      <c r="B8" t="s">
        <v>1458</v>
      </c>
      <c r="C8" s="53" t="str">
        <f ca="1">HYPERLINK("#" &amp; CELL("address", 'V1.41'!$A$2), "Interbank payment transactions")</f>
        <v>Interbank payment transactions</v>
      </c>
    </row>
    <row r="9" spans="1:4" x14ac:dyDescent="0.2">
      <c r="A9" t="s">
        <v>1459</v>
      </c>
      <c r="B9" t="s">
        <v>1459</v>
      </c>
      <c r="C9" s="53" t="str">
        <f ca="1">HYPERLINK("#" &amp; CELL("address", 'V1.42'!$A$2), "Intermediated payment transactions")</f>
        <v>Intermediated payment transactions</v>
      </c>
    </row>
    <row r="10" spans="1:4" x14ac:dyDescent="0.2">
      <c r="A10" t="s">
        <v>1534</v>
      </c>
      <c r="B10" t="s">
        <v>1098</v>
      </c>
      <c r="C10" s="53" t="str">
        <f ca="1">HYPERLINK("#" &amp; CELL("address", 'V1.50+V1.50-F'!$A$2), "Card transactions with cards issued by resident PSPs (payments)")</f>
        <v>Card transactions with cards issued by resident PSPs (payments)</v>
      </c>
      <c r="D10" t="s">
        <v>1418</v>
      </c>
    </row>
    <row r="11" spans="1:4" x14ac:dyDescent="0.2">
      <c r="A11" t="s">
        <v>1534</v>
      </c>
      <c r="B11" t="s">
        <v>1542</v>
      </c>
      <c r="C11" s="53" t="str">
        <f ca="1">HYPERLINK("#" &amp; CELL("address", 'V1.50+V1.50-F'!$A$23), "Card transactions with cards issued by resident PSPs (fraud)")</f>
        <v>Card transactions with cards issued by resident PSPs (fraud)</v>
      </c>
      <c r="D11" t="s">
        <v>1418</v>
      </c>
    </row>
    <row r="12" spans="1:4" x14ac:dyDescent="0.2">
      <c r="A12" t="s">
        <v>1099</v>
      </c>
      <c r="B12" t="s">
        <v>1099</v>
      </c>
      <c r="C12" s="53" t="str">
        <f ca="1">HYPERLINK("#" &amp; CELL("address", 'V1.51'!$A$2), "Electronic card transactions with cards issued by resident PSPs, split by Merchant Category Codes (MCC)")</f>
        <v>Electronic card transactions with cards issued by resident PSPs, split by Merchant Category Codes (MCC)</v>
      </c>
      <c r="D12" t="s">
        <v>1418</v>
      </c>
    </row>
    <row r="13" spans="1:4" x14ac:dyDescent="0.2">
      <c r="A13" t="s">
        <v>1535</v>
      </c>
      <c r="B13" t="s">
        <v>1100</v>
      </c>
      <c r="C13" s="53" t="str">
        <f ca="1">HYPERLINK("#" &amp; CELL("address", 'V1.52+V1.52-F'!$A$2), "Card transactions acquired by resident PSPs (payments)")</f>
        <v>Card transactions acquired by resident PSPs (payments)</v>
      </c>
      <c r="D13" t="s">
        <v>1418</v>
      </c>
    </row>
    <row r="14" spans="1:4" x14ac:dyDescent="0.2">
      <c r="A14" t="s">
        <v>1535</v>
      </c>
      <c r="B14" t="s">
        <v>1543</v>
      </c>
      <c r="C14" s="53" t="str">
        <f ca="1">HYPERLINK("#" &amp; CELL("address", 'V1.52+V1.52-F'!$A$23), "Card transactions acquired by resident PSPs (fraud)")</f>
        <v>Card transactions acquired by resident PSPs (fraud)</v>
      </c>
      <c r="D14" t="s">
        <v>1418</v>
      </c>
    </row>
    <row r="15" spans="1:4" x14ac:dyDescent="0.2">
      <c r="A15" t="s">
        <v>1101</v>
      </c>
      <c r="B15" t="s">
        <v>1101</v>
      </c>
      <c r="C15" s="53" t="str">
        <f ca="1">HYPERLINK("#" &amp; CELL("address", 'V1.53'!$A$2), "Fundings and withdrawals related to prepaid cards")</f>
        <v>Fundings and withdrawals related to prepaid cards</v>
      </c>
    </row>
    <row r="16" spans="1:4" x14ac:dyDescent="0.2">
      <c r="A16" t="s">
        <v>1536</v>
      </c>
      <c r="B16" t="s">
        <v>1460</v>
      </c>
      <c r="C16" s="53" t="str">
        <f ca="1">HYPERLINK("#" &amp; CELL("address", 'V1.60+V1.60-F'!$A$2), "Cheques and money orders (payments)")</f>
        <v>Cheques and money orders (payments)</v>
      </c>
      <c r="D16" t="s">
        <v>1418</v>
      </c>
    </row>
    <row r="17" spans="1:4" x14ac:dyDescent="0.2">
      <c r="A17" t="s">
        <v>1536</v>
      </c>
      <c r="B17" t="s">
        <v>1544</v>
      </c>
      <c r="C17" s="53" t="str">
        <f ca="1">HYPERLINK("#" &amp; CELL("address", 'V1.60+V1.60-F'!$A$23), "Cheques and money orders (fraud)")</f>
        <v>Cheques and money orders (fraud)</v>
      </c>
      <c r="D17" t="s">
        <v>1418</v>
      </c>
    </row>
    <row r="18" spans="1:4" x14ac:dyDescent="0.2">
      <c r="A18" t="s">
        <v>1102</v>
      </c>
      <c r="B18" t="s">
        <v>1102</v>
      </c>
      <c r="C18" s="53" t="str">
        <f ca="1">HYPERLINK("#" &amp; CELL("address", 'V1.70'!$A$2), "Over-the-counter (OTC) cash transactions")</f>
        <v>Over-the-counter (OTC) cash transactions</v>
      </c>
      <c r="D18" t="s">
        <v>1418</v>
      </c>
    </row>
    <row r="19" spans="1:4" x14ac:dyDescent="0.2">
      <c r="A19" t="s">
        <v>1461</v>
      </c>
      <c r="B19" t="s">
        <v>1461</v>
      </c>
      <c r="C19" s="53" t="str">
        <f ca="1">HYPERLINK("#" &amp; CELL("address", 'V1.80'!$A$2), "Book entries")</f>
        <v>Book entries</v>
      </c>
      <c r="D19" t="s">
        <v>1418</v>
      </c>
    </row>
    <row r="20" spans="1:4" x14ac:dyDescent="0.2">
      <c r="A20" t="s">
        <v>1462</v>
      </c>
      <c r="B20" t="s">
        <v>1462</v>
      </c>
      <c r="C20" s="53" t="str">
        <f ca="1">HYPERLINK("#" &amp; CELL("address", 'V1.90'!$A$2), "Fundings and withdrawals in e-money (except prepaid cards)")</f>
        <v>Fundings and withdrawals in e-money (except prepaid cards)</v>
      </c>
    </row>
    <row r="21" spans="1:4" x14ac:dyDescent="0.2">
      <c r="A21" t="s">
        <v>1537</v>
      </c>
      <c r="B21" t="s">
        <v>1463</v>
      </c>
      <c r="C21" s="53" t="str">
        <f ca="1">HYPERLINK("#" &amp; CELL("address", 'V1.91+V1.91-F'!$A$2), "E-money transfers (payments)")</f>
        <v>E-money transfers (payments)</v>
      </c>
      <c r="D21" t="s">
        <v>1418</v>
      </c>
    </row>
    <row r="22" spans="1:4" x14ac:dyDescent="0.2">
      <c r="A22" t="s">
        <v>1537</v>
      </c>
      <c r="B22" t="s">
        <v>1545</v>
      </c>
      <c r="C22" s="53" t="str">
        <f ca="1">HYPERLINK("#" &amp; CELL("address", 'V1.91+V1.91-F'!$A$23), "E-money transfers sent (fraud)")</f>
        <v>E-money transfers sent (fraud)</v>
      </c>
      <c r="D22" t="s">
        <v>1418</v>
      </c>
    </row>
    <row r="23" spans="1:4" x14ac:dyDescent="0.2">
      <c r="A23" t="s">
        <v>1464</v>
      </c>
      <c r="B23" t="s">
        <v>1464</v>
      </c>
      <c r="C23" s="53" t="str">
        <f ca="1">HYPERLINK("#" &amp; CELL("address", 'V1.100'!$A$2), "Payment services provided by e-money institutions and payment institutions without the provision of payment accounts")</f>
        <v>Payment services provided by e-money institutions and payment institutions without the provision of payment accounts</v>
      </c>
    </row>
    <row r="24" spans="1:4" x14ac:dyDescent="0.2">
      <c r="A24" t="s">
        <v>1538</v>
      </c>
      <c r="B24" t="s">
        <v>1465</v>
      </c>
      <c r="C24" s="53" t="str">
        <f ca="1">HYPERLINK("#" &amp; CELL("address", 'V1.110+V1.110-F'!$A$2), "Payment initiation services (payments)")</f>
        <v>Payment initiation services (payments)</v>
      </c>
      <c r="D24" t="s">
        <v>1418</v>
      </c>
    </row>
    <row r="25" spans="1:4" x14ac:dyDescent="0.2">
      <c r="A25" t="s">
        <v>1538</v>
      </c>
      <c r="B25" t="s">
        <v>1546</v>
      </c>
      <c r="C25" s="53" t="str">
        <f ca="1">HYPERLINK("#" &amp; CELL("address", 'V1.110+V1.110-F'!$A$23), "Payment initiation services (fraud)")</f>
        <v>Payment initiation services (fraud)</v>
      </c>
      <c r="D25" t="s">
        <v>1418</v>
      </c>
    </row>
    <row r="26" spans="1:4" x14ac:dyDescent="0.2">
      <c r="A26" t="s">
        <v>1466</v>
      </c>
      <c r="B26" t="s">
        <v>1466</v>
      </c>
      <c r="C26" s="53" t="str">
        <f ca="1">HYPERLINK("#" &amp; CELL("address", 'V1.200'!$A$2), "Stock of issued payment cards")</f>
        <v>Stock of issued payment cards</v>
      </c>
      <c r="D26" t="s">
        <v>1418</v>
      </c>
    </row>
    <row r="27" spans="1:4" x14ac:dyDescent="0.2">
      <c r="A27" t="s">
        <v>1467</v>
      </c>
      <c r="B27" t="s">
        <v>1467</v>
      </c>
      <c r="C27" s="53" t="str">
        <f ca="1">HYPERLINK("#" &amp; CELL("address", 'V1.201'!$A$2), "Stock of distributed payment cards")</f>
        <v>Stock of distributed payment cards</v>
      </c>
    </row>
    <row r="28" spans="1:4" x14ac:dyDescent="0.2">
      <c r="A28" t="s">
        <v>1468</v>
      </c>
      <c r="B28" t="s">
        <v>1468</v>
      </c>
      <c r="C28" s="53" t="str">
        <f ca="1">HYPERLINK("#" &amp; CELL("address", 'V1.210'!$A$2), "Stock of terminals by terminal type")</f>
        <v>Stock of terminals by terminal type</v>
      </c>
      <c r="D28" t="s">
        <v>1418</v>
      </c>
    </row>
    <row r="29" spans="1:4" x14ac:dyDescent="0.2">
      <c r="A29" t="s">
        <v>1469</v>
      </c>
      <c r="B29" t="s">
        <v>1469</v>
      </c>
      <c r="C29" s="53" t="str">
        <f ca="1">HYPERLINK("#" &amp; CELL("address", 'V1.220'!$A$2), "Stock of accounts (except e-money accounts)")</f>
        <v>Stock of accounts (except e-money accounts)</v>
      </c>
      <c r="D29" t="s">
        <v>1418</v>
      </c>
    </row>
    <row r="30" spans="1:4" x14ac:dyDescent="0.2">
      <c r="A30" t="s">
        <v>1470</v>
      </c>
      <c r="B30" t="s">
        <v>1470</v>
      </c>
      <c r="C30" s="53" t="str">
        <f ca="1">HYPERLINK("#" &amp; CELL("address", 'V1.221'!$A$2), "Stock of software based e-money schemes’ accounts")</f>
        <v>Stock of software based e-money schemes’ accounts</v>
      </c>
      <c r="D30" t="s">
        <v>1418</v>
      </c>
    </row>
    <row r="31" spans="1:4" x14ac:dyDescent="0.2">
      <c r="A31" t="s">
        <v>1471</v>
      </c>
      <c r="B31" t="s">
        <v>1471</v>
      </c>
      <c r="C31" s="53" t="str">
        <f ca="1">HYPERLINK("#" &amp; CELL("address", 'V1.222'!$A$2), "Stock of accessed accounts - account information services (AIS)")</f>
        <v>Stock of accessed accounts - account information services (AIS)</v>
      </c>
      <c r="D31" t="s">
        <v>1418</v>
      </c>
    </row>
    <row r="32" spans="1:4" x14ac:dyDescent="0.2">
      <c r="A32" t="s">
        <v>1472</v>
      </c>
      <c r="B32" t="s">
        <v>1472</v>
      </c>
      <c r="C32" s="53" t="str">
        <f ca="1">HYPERLINK("#" &amp; CELL("address", 'V1.230'!$A$2), "Number of customers")</f>
        <v>Number of customers</v>
      </c>
      <c r="D32" t="s">
        <v>1418</v>
      </c>
    </row>
    <row r="33" spans="1:4" x14ac:dyDescent="0.2">
      <c r="A33" t="s">
        <v>1539</v>
      </c>
      <c r="B33" t="s">
        <v>1539</v>
      </c>
      <c r="C33" s="53" t="str">
        <f ca="1">HYPERLINK("#" &amp; CELL("address", 'V1.300-F'!$A$2), "Losses due to fraud per liability bearer")</f>
        <v>Losses due to fraud per liability bearer</v>
      </c>
      <c r="D33" t="s">
        <v>1418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M85"/>
  <sheetViews>
    <sheetView workbookViewId="0"/>
  </sheetViews>
  <sheetFormatPr defaultRowHeight="14.25" x14ac:dyDescent="0.2"/>
  <cols>
    <col min="1" max="12" width="9" style="60"/>
  </cols>
  <sheetData>
    <row r="1" spans="1:13" ht="15" x14ac:dyDescent="0.2">
      <c r="A1" s="68" t="s">
        <v>944</v>
      </c>
    </row>
    <row r="2" spans="1:13" x14ac:dyDescent="0.2">
      <c r="A2" s="60" t="s">
        <v>945</v>
      </c>
    </row>
    <row r="4" spans="1:13" ht="15.75" x14ac:dyDescent="0.2">
      <c r="A4" s="69" t="s">
        <v>970</v>
      </c>
    </row>
    <row r="5" spans="1:13" ht="4.5" customHeight="1" x14ac:dyDescent="0.2"/>
    <row r="6" spans="1:13" ht="19.5" customHeight="1" x14ac:dyDescent="0.2">
      <c r="A6" s="70" t="s">
        <v>980</v>
      </c>
    </row>
    <row r="7" spans="1:13" ht="19.5" customHeight="1" x14ac:dyDescent="0.2">
      <c r="A7" s="89" t="s">
        <v>976</v>
      </c>
      <c r="B7" s="89"/>
      <c r="C7" s="89"/>
      <c r="D7" s="89"/>
      <c r="E7" s="89"/>
      <c r="F7" s="89"/>
      <c r="G7" s="89"/>
      <c r="H7" s="89"/>
      <c r="I7" s="89"/>
      <c r="J7" s="89"/>
      <c r="K7" s="89"/>
      <c r="L7" s="89"/>
    </row>
    <row r="8" spans="1:13" s="1" customFormat="1" ht="19.5" customHeight="1" x14ac:dyDescent="0.2">
      <c r="A8" s="71"/>
      <c r="B8" s="71"/>
      <c r="C8" s="71"/>
      <c r="D8" s="71"/>
      <c r="E8" s="71"/>
      <c r="F8" s="71"/>
      <c r="G8" s="71"/>
      <c r="H8" s="71"/>
      <c r="I8" s="71"/>
      <c r="J8" s="71"/>
      <c r="K8" s="71"/>
      <c r="L8" s="71"/>
    </row>
    <row r="9" spans="1:13" s="1" customFormat="1" ht="19.5" customHeight="1" x14ac:dyDescent="0.2">
      <c r="A9" s="71"/>
      <c r="B9" s="72" t="s">
        <v>972</v>
      </c>
      <c r="C9" s="71"/>
      <c r="D9" s="71"/>
      <c r="E9" s="71"/>
      <c r="F9" s="71"/>
      <c r="G9" s="71"/>
      <c r="H9" s="71"/>
      <c r="I9" s="71"/>
      <c r="J9" s="71"/>
      <c r="K9" s="71"/>
      <c r="L9" s="71"/>
    </row>
    <row r="10" spans="1:13" x14ac:dyDescent="0.2">
      <c r="B10" s="60" t="s">
        <v>979</v>
      </c>
      <c r="G10" s="71"/>
      <c r="H10" s="71"/>
      <c r="I10" s="71"/>
      <c r="J10" s="71"/>
      <c r="K10" s="71"/>
      <c r="L10" s="71"/>
      <c r="M10" s="1"/>
    </row>
    <row r="11" spans="1:13" x14ac:dyDescent="0.2">
      <c r="C11" s="60" t="s">
        <v>954</v>
      </c>
    </row>
    <row r="12" spans="1:13" x14ac:dyDescent="0.2">
      <c r="C12" s="60" t="s">
        <v>956</v>
      </c>
    </row>
    <row r="13" spans="1:13" x14ac:dyDescent="0.2">
      <c r="C13" s="60" t="s">
        <v>955</v>
      </c>
    </row>
    <row r="14" spans="1:13" x14ac:dyDescent="0.2">
      <c r="C14" s="60" t="s">
        <v>968</v>
      </c>
    </row>
    <row r="15" spans="1:13" x14ac:dyDescent="0.2">
      <c r="C15" s="89" t="s">
        <v>969</v>
      </c>
      <c r="D15" s="89"/>
      <c r="E15" s="89"/>
      <c r="F15" s="89"/>
      <c r="G15" s="89"/>
      <c r="H15" s="89"/>
      <c r="I15" s="89"/>
      <c r="J15" s="89"/>
      <c r="K15" s="89"/>
      <c r="L15" s="89"/>
    </row>
    <row r="16" spans="1:13" x14ac:dyDescent="0.2">
      <c r="C16" s="89" t="s">
        <v>964</v>
      </c>
      <c r="D16" s="89"/>
      <c r="E16" s="89"/>
      <c r="F16" s="89"/>
      <c r="G16" s="89"/>
      <c r="H16" s="89"/>
      <c r="I16" s="89"/>
      <c r="J16" s="89"/>
      <c r="K16" s="89"/>
      <c r="L16" s="89"/>
    </row>
    <row r="18" spans="2:12" x14ac:dyDescent="0.2">
      <c r="B18" s="60" t="s">
        <v>953</v>
      </c>
    </row>
    <row r="19" spans="2:12" x14ac:dyDescent="0.2">
      <c r="C19" s="60" t="s">
        <v>957</v>
      </c>
    </row>
    <row r="20" spans="2:12" x14ac:dyDescent="0.2">
      <c r="C20" s="60" t="s">
        <v>958</v>
      </c>
    </row>
    <row r="21" spans="2:12" x14ac:dyDescent="0.2">
      <c r="C21" s="60" t="s">
        <v>987</v>
      </c>
    </row>
    <row r="22" spans="2:12" x14ac:dyDescent="0.2">
      <c r="C22" s="60" t="s">
        <v>959</v>
      </c>
    </row>
    <row r="23" spans="2:12" x14ac:dyDescent="0.2">
      <c r="C23" s="60" t="s">
        <v>960</v>
      </c>
    </row>
    <row r="24" spans="2:12" x14ac:dyDescent="0.2">
      <c r="C24" s="50" t="s">
        <v>951</v>
      </c>
    </row>
    <row r="25" spans="2:12" x14ac:dyDescent="0.2">
      <c r="C25" s="89" t="s">
        <v>963</v>
      </c>
      <c r="D25" s="89"/>
      <c r="E25" s="89"/>
      <c r="F25" s="89"/>
      <c r="G25" s="89"/>
      <c r="H25" s="89"/>
      <c r="I25" s="89"/>
      <c r="J25" s="89"/>
      <c r="K25" s="89"/>
      <c r="L25" s="89"/>
    </row>
    <row r="27" spans="2:12" x14ac:dyDescent="0.2">
      <c r="B27" s="60" t="s">
        <v>977</v>
      </c>
    </row>
    <row r="29" spans="2:12" x14ac:dyDescent="0.2">
      <c r="B29" s="60" t="s">
        <v>978</v>
      </c>
    </row>
    <row r="31" spans="2:12" x14ac:dyDescent="0.2">
      <c r="B31" s="60" t="s">
        <v>966</v>
      </c>
    </row>
    <row r="32" spans="2:12" x14ac:dyDescent="0.2">
      <c r="C32" s="60" t="s">
        <v>965</v>
      </c>
    </row>
    <row r="33" spans="1:13" x14ac:dyDescent="0.2">
      <c r="C33" s="60" t="s">
        <v>967</v>
      </c>
    </row>
    <row r="36" spans="1:13" s="1" customFormat="1" ht="19.5" customHeight="1" x14ac:dyDescent="0.2">
      <c r="A36" s="71"/>
      <c r="B36" s="72" t="s">
        <v>973</v>
      </c>
      <c r="C36" s="71"/>
      <c r="D36" s="71"/>
      <c r="E36" s="71"/>
      <c r="F36" s="71"/>
      <c r="G36" s="71"/>
      <c r="H36" s="71"/>
      <c r="I36" s="71"/>
      <c r="J36" s="71"/>
      <c r="K36" s="71"/>
      <c r="L36" s="71"/>
    </row>
    <row r="37" spans="1:13" x14ac:dyDescent="0.2">
      <c r="B37" s="60" t="s">
        <v>979</v>
      </c>
      <c r="G37" s="71"/>
      <c r="H37" s="71"/>
      <c r="I37" s="71"/>
      <c r="J37" s="71"/>
      <c r="K37" s="71"/>
      <c r="L37" s="71"/>
      <c r="M37" s="1"/>
    </row>
    <row r="38" spans="1:13" x14ac:dyDescent="0.2">
      <c r="C38" s="89" t="s">
        <v>986</v>
      </c>
      <c r="D38" s="89"/>
      <c r="E38" s="89"/>
      <c r="F38" s="89"/>
      <c r="G38" s="89"/>
      <c r="H38" s="89"/>
      <c r="I38" s="89"/>
      <c r="J38" s="89"/>
      <c r="K38" s="89"/>
      <c r="L38" s="89"/>
    </row>
    <row r="39" spans="1:13" x14ac:dyDescent="0.2">
      <c r="C39" s="89" t="s">
        <v>964</v>
      </c>
      <c r="D39" s="89"/>
      <c r="E39" s="89"/>
      <c r="F39" s="89"/>
      <c r="G39" s="89"/>
      <c r="H39" s="89"/>
      <c r="I39" s="89"/>
      <c r="J39" s="89"/>
      <c r="K39" s="89"/>
      <c r="L39" s="89"/>
    </row>
    <row r="40" spans="1:13" s="1" customFormat="1" ht="19.5" customHeight="1" x14ac:dyDescent="0.2">
      <c r="A40" s="71"/>
      <c r="B40" s="72"/>
      <c r="C40" s="71"/>
      <c r="D40" s="71"/>
      <c r="E40" s="71"/>
      <c r="F40" s="71"/>
      <c r="G40" s="71"/>
      <c r="H40" s="71"/>
      <c r="I40" s="71"/>
      <c r="J40" s="71"/>
      <c r="K40" s="71"/>
      <c r="L40" s="71"/>
    </row>
    <row r="41" spans="1:13" x14ac:dyDescent="0.2">
      <c r="B41" s="60" t="s">
        <v>953</v>
      </c>
    </row>
    <row r="42" spans="1:13" x14ac:dyDescent="0.2">
      <c r="C42" s="60" t="s">
        <v>985</v>
      </c>
    </row>
    <row r="43" spans="1:13" x14ac:dyDescent="0.2">
      <c r="C43" s="60" t="s">
        <v>984</v>
      </c>
    </row>
    <row r="44" spans="1:13" x14ac:dyDescent="0.2">
      <c r="C44" s="60" t="s">
        <v>988</v>
      </c>
    </row>
    <row r="45" spans="1:13" x14ac:dyDescent="0.2">
      <c r="C45" s="89" t="s">
        <v>963</v>
      </c>
      <c r="D45" s="89"/>
      <c r="E45" s="89"/>
      <c r="F45" s="89"/>
      <c r="G45" s="89"/>
      <c r="H45" s="89"/>
      <c r="I45" s="89"/>
      <c r="J45" s="89"/>
      <c r="K45" s="89"/>
      <c r="L45" s="89"/>
    </row>
    <row r="47" spans="1:13" x14ac:dyDescent="0.2">
      <c r="B47" s="60" t="s">
        <v>961</v>
      </c>
    </row>
    <row r="50" spans="1:11" ht="19.5" customHeight="1" x14ac:dyDescent="0.2">
      <c r="A50" s="70" t="s">
        <v>981</v>
      </c>
    </row>
    <row r="51" spans="1:11" x14ac:dyDescent="0.2">
      <c r="A51" s="60" t="s">
        <v>975</v>
      </c>
    </row>
    <row r="52" spans="1:11" x14ac:dyDescent="0.2">
      <c r="B52" s="60" t="s">
        <v>982</v>
      </c>
    </row>
    <row r="54" spans="1:11" ht="19.5" customHeight="1" x14ac:dyDescent="0.2">
      <c r="A54" s="70" t="s">
        <v>974</v>
      </c>
    </row>
    <row r="55" spans="1:11" x14ac:dyDescent="0.2">
      <c r="B55" s="60" t="s">
        <v>952</v>
      </c>
    </row>
    <row r="58" spans="1:11" ht="15.75" x14ac:dyDescent="0.2">
      <c r="A58" s="69" t="s">
        <v>971</v>
      </c>
    </row>
    <row r="59" spans="1:11" ht="6" customHeight="1" x14ac:dyDescent="0.2"/>
    <row r="60" spans="1:11" x14ac:dyDescent="0.2">
      <c r="B60" s="60" t="s">
        <v>946</v>
      </c>
    </row>
    <row r="61" spans="1:11" x14ac:dyDescent="0.2">
      <c r="B61" s="60" t="s">
        <v>947</v>
      </c>
    </row>
    <row r="62" spans="1:11" x14ac:dyDescent="0.2">
      <c r="B62" s="89" t="s">
        <v>962</v>
      </c>
      <c r="C62" s="89"/>
      <c r="D62" s="89"/>
      <c r="E62" s="89"/>
      <c r="F62" s="89"/>
      <c r="G62" s="89"/>
      <c r="H62" s="89"/>
      <c r="I62" s="89"/>
      <c r="J62" s="89"/>
      <c r="K62" s="89"/>
    </row>
    <row r="63" spans="1:11" x14ac:dyDescent="0.2">
      <c r="B63" s="60" t="s">
        <v>948</v>
      </c>
    </row>
    <row r="64" spans="1:11" x14ac:dyDescent="0.2">
      <c r="B64" s="60" t="s">
        <v>949</v>
      </c>
    </row>
    <row r="65" spans="1:2" x14ac:dyDescent="0.2">
      <c r="B65" s="60" t="s">
        <v>950</v>
      </c>
    </row>
    <row r="66" spans="1:2" x14ac:dyDescent="0.2">
      <c r="B66" s="60" t="s">
        <v>951</v>
      </c>
    </row>
    <row r="67" spans="1:2" x14ac:dyDescent="0.2">
      <c r="B67" s="60" t="s">
        <v>983</v>
      </c>
    </row>
    <row r="71" spans="1:2" ht="15" x14ac:dyDescent="0.2">
      <c r="A71" s="68" t="s">
        <v>1035</v>
      </c>
    </row>
    <row r="72" spans="1:2" ht="15" x14ac:dyDescent="0.2">
      <c r="A72" s="68" t="s">
        <v>1051</v>
      </c>
    </row>
    <row r="85" spans="1:1" ht="15" x14ac:dyDescent="0.2">
      <c r="A85" s="68" t="s">
        <v>1052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61"/>
  <sheetViews>
    <sheetView workbookViewId="0"/>
  </sheetViews>
  <sheetFormatPr defaultRowHeight="14.25" x14ac:dyDescent="0.2"/>
  <cols>
    <col min="1" max="1" width="13.25" style="184" customWidth="1"/>
    <col min="2" max="2" width="9.5" style="184" customWidth="1"/>
    <col min="3" max="3" width="60.75" style="185" customWidth="1"/>
    <col min="4" max="4" width="10.25" style="184" customWidth="1"/>
    <col min="5" max="5" width="95.375" style="185" customWidth="1"/>
    <col min="6" max="6" width="11.375" style="184" customWidth="1"/>
    <col min="7" max="16384" width="9" style="186"/>
  </cols>
  <sheetData>
    <row r="1" spans="1:6" x14ac:dyDescent="0.2">
      <c r="A1" s="61" t="str">
        <f ca="1">HYPERLINK("#" &amp; CELL("address",INDEX!$A$1), "Go back to INDEX")</f>
        <v>Go back to INDEX</v>
      </c>
    </row>
    <row r="2" spans="1:6" ht="20.25" x14ac:dyDescent="0.2">
      <c r="A2" s="183" t="s">
        <v>1699</v>
      </c>
    </row>
    <row r="3" spans="1:6" x14ac:dyDescent="0.2">
      <c r="A3" s="184" t="s">
        <v>1700</v>
      </c>
    </row>
    <row r="4" spans="1:6" x14ac:dyDescent="0.2">
      <c r="A4" s="184" t="s">
        <v>1701</v>
      </c>
    </row>
    <row r="6" spans="1:6" ht="33.75" customHeight="1" x14ac:dyDescent="0.2">
      <c r="A6" s="185" t="s">
        <v>1741</v>
      </c>
      <c r="B6" s="185" t="s">
        <v>1742</v>
      </c>
      <c r="C6" s="185" t="s">
        <v>1743</v>
      </c>
      <c r="D6" s="185" t="s">
        <v>1744</v>
      </c>
      <c r="E6" s="185" t="s">
        <v>1745</v>
      </c>
      <c r="F6" s="185" t="s">
        <v>1746</v>
      </c>
    </row>
    <row r="7" spans="1:6" x14ac:dyDescent="0.2">
      <c r="A7" s="187">
        <v>1</v>
      </c>
      <c r="B7" s="187" t="s">
        <v>228</v>
      </c>
      <c r="C7" s="187" t="s">
        <v>313</v>
      </c>
      <c r="D7" s="187" t="s">
        <v>1095</v>
      </c>
      <c r="E7" s="193" t="str">
        <f ca="1">HYPERLINK("#" &amp; CELL("address", 'V1.20+V1.20-F'!$A$2), "Customer credit transfers sent (payments)")</f>
        <v>Customer credit transfers sent (payments)</v>
      </c>
      <c r="F7" s="187">
        <v>1</v>
      </c>
    </row>
    <row r="8" spans="1:6" x14ac:dyDescent="0.2">
      <c r="A8" s="187">
        <v>2</v>
      </c>
      <c r="B8" s="187" t="s">
        <v>487</v>
      </c>
      <c r="C8" s="187" t="s">
        <v>487</v>
      </c>
      <c r="D8" s="187" t="s">
        <v>1540</v>
      </c>
      <c r="E8" s="193" t="str">
        <f ca="1">HYPERLINK("#" &amp; CELL("address", 'V1.20+V1.20-F'!$A$23), "Customer credit transfers sent (fraud)")</f>
        <v>Customer credit transfers sent (fraud)</v>
      </c>
      <c r="F8" s="187">
        <v>3</v>
      </c>
    </row>
    <row r="9" spans="1:6" x14ac:dyDescent="0.2">
      <c r="A9" s="187">
        <v>3</v>
      </c>
      <c r="B9" s="187" t="s">
        <v>242</v>
      </c>
      <c r="C9" s="187" t="s">
        <v>314</v>
      </c>
      <c r="D9" s="187" t="s">
        <v>1096</v>
      </c>
      <c r="E9" s="193" t="str">
        <f ca="1">HYPERLINK("#" &amp; CELL("address", 'V1.21'!$A$2), "Customer credit transfers received")</f>
        <v>Customer credit transfers received</v>
      </c>
      <c r="F9" s="187">
        <v>5</v>
      </c>
    </row>
    <row r="10" spans="1:6" x14ac:dyDescent="0.2">
      <c r="A10" s="187">
        <v>4</v>
      </c>
      <c r="B10" s="187" t="s">
        <v>243</v>
      </c>
      <c r="C10" s="187" t="s">
        <v>315</v>
      </c>
      <c r="D10" s="187" t="s">
        <v>1459</v>
      </c>
      <c r="E10" s="193" t="str">
        <f ca="1">HYPERLINK("#" &amp; CELL("address", 'V1.42'!$A$2), "Intermediated payment transactions")</f>
        <v>Intermediated payment transactions</v>
      </c>
      <c r="F10" s="187">
        <v>17</v>
      </c>
    </row>
    <row r="11" spans="1:6" x14ac:dyDescent="0.2">
      <c r="A11" s="187">
        <v>5</v>
      </c>
      <c r="B11" s="187" t="s">
        <v>255</v>
      </c>
      <c r="C11" s="187" t="s">
        <v>331</v>
      </c>
      <c r="D11" s="187" t="s">
        <v>1457</v>
      </c>
      <c r="E11" s="193" t="str">
        <f ca="1">HYPERLINK("#" &amp; CELL("address", 'V1.40'!$A$2), "SEPA R-transactions")</f>
        <v>SEPA R-transactions</v>
      </c>
      <c r="F11" s="187">
        <v>10</v>
      </c>
    </row>
    <row r="12" spans="1:6" x14ac:dyDescent="0.2">
      <c r="A12" s="187">
        <v>6</v>
      </c>
      <c r="B12" s="187" t="s">
        <v>256</v>
      </c>
      <c r="C12" s="187" t="s">
        <v>332</v>
      </c>
      <c r="D12" s="187" t="s">
        <v>1457</v>
      </c>
      <c r="E12" s="193" t="str">
        <f ca="1">HYPERLINK("#" &amp; CELL("address", 'V1.40'!$A$2), "SEPA R-transactions")</f>
        <v>SEPA R-transactions</v>
      </c>
      <c r="F12" s="187">
        <v>11</v>
      </c>
    </row>
    <row r="13" spans="1:6" x14ac:dyDescent="0.2">
      <c r="A13" s="187">
        <v>7</v>
      </c>
      <c r="B13" s="187" t="s">
        <v>244</v>
      </c>
      <c r="C13" s="187" t="s">
        <v>316</v>
      </c>
      <c r="D13" s="187" t="s">
        <v>1458</v>
      </c>
      <c r="E13" s="193" t="str">
        <f ca="1">HYPERLINK("#" &amp; CELL("address", 'V1.41'!$A$2), "Interbank payment transactions")</f>
        <v>Interbank payment transactions</v>
      </c>
      <c r="F13" s="187">
        <v>14</v>
      </c>
    </row>
    <row r="14" spans="1:6" x14ac:dyDescent="0.2">
      <c r="A14" s="187">
        <v>8</v>
      </c>
      <c r="B14" s="187" t="s">
        <v>245</v>
      </c>
      <c r="C14" s="187" t="s">
        <v>317</v>
      </c>
      <c r="D14" s="187" t="s">
        <v>1458</v>
      </c>
      <c r="E14" s="193" t="str">
        <f ca="1">HYPERLINK("#" &amp; CELL("address", 'V1.41'!$A$2), "Interbank payment transactions")</f>
        <v>Interbank payment transactions</v>
      </c>
      <c r="F14" s="187">
        <v>15</v>
      </c>
    </row>
    <row r="15" spans="1:6" x14ac:dyDescent="0.2">
      <c r="A15" s="187">
        <v>9</v>
      </c>
      <c r="B15" s="187" t="s">
        <v>246</v>
      </c>
      <c r="C15" s="187" t="s">
        <v>318</v>
      </c>
      <c r="D15" s="187" t="s">
        <v>1459</v>
      </c>
      <c r="E15" s="193" t="str">
        <f ca="1">HYPERLINK("#" &amp; CELL("address", 'V1.42'!$A$2), "Intermediated payment transactions")</f>
        <v>Intermediated payment transactions</v>
      </c>
      <c r="F15" s="187">
        <v>18</v>
      </c>
    </row>
    <row r="16" spans="1:6" x14ac:dyDescent="0.2">
      <c r="A16" s="187">
        <v>10</v>
      </c>
      <c r="B16" s="187" t="s">
        <v>230</v>
      </c>
      <c r="C16" s="187" t="s">
        <v>1702</v>
      </c>
      <c r="D16" s="187" t="s">
        <v>1097</v>
      </c>
      <c r="E16" s="193" t="str">
        <f ca="1">HYPERLINK("#" &amp; CELL("address", 'V1.31'!$A$2), "Direct debits - reporting as debtor's PSP")</f>
        <v>Direct debits - reporting as debtor's PSP</v>
      </c>
      <c r="F16" s="187">
        <v>9</v>
      </c>
    </row>
    <row r="17" spans="1:6" x14ac:dyDescent="0.2">
      <c r="A17" s="187">
        <v>11</v>
      </c>
      <c r="B17" s="188" t="s">
        <v>230</v>
      </c>
      <c r="C17" s="188" t="s">
        <v>1090</v>
      </c>
      <c r="D17" s="187" t="s">
        <v>1458</v>
      </c>
      <c r="E17" s="193" t="str">
        <f ca="1">HYPERLINK("#" &amp; CELL("address", 'V1.41'!$A$2), "Interbank payment transactions")</f>
        <v>Interbank payment transactions</v>
      </c>
      <c r="F17" s="187">
        <v>16</v>
      </c>
    </row>
    <row r="18" spans="1:6" x14ac:dyDescent="0.2">
      <c r="A18" s="187">
        <v>12</v>
      </c>
      <c r="B18" s="187" t="s">
        <v>227</v>
      </c>
      <c r="C18" s="187" t="s">
        <v>320</v>
      </c>
      <c r="D18" s="187" t="s">
        <v>1461</v>
      </c>
      <c r="E18" s="193" t="str">
        <f ca="1">HYPERLINK("#" &amp; CELL("address", 'V1.80'!$A$2), "Book entries")</f>
        <v>Book entries</v>
      </c>
      <c r="F18" s="187">
        <v>29</v>
      </c>
    </row>
    <row r="19" spans="1:6" x14ac:dyDescent="0.2">
      <c r="A19" s="187">
        <v>13</v>
      </c>
      <c r="B19" s="187" t="s">
        <v>249</v>
      </c>
      <c r="C19" s="187" t="s">
        <v>1703</v>
      </c>
      <c r="D19" s="187" t="s">
        <v>1097</v>
      </c>
      <c r="E19" s="193" t="str">
        <f ca="1">HYPERLINK("#" &amp; CELL("address", 'V1.31'!$A$2), "Direct debits - reporting as debtor's PSP")</f>
        <v>Direct debits - reporting as debtor's PSP</v>
      </c>
      <c r="F19" s="187">
        <v>8</v>
      </c>
    </row>
    <row r="20" spans="1:6" x14ac:dyDescent="0.2">
      <c r="A20" s="187">
        <v>14</v>
      </c>
      <c r="B20" s="187" t="s">
        <v>257</v>
      </c>
      <c r="C20" s="187" t="s">
        <v>1704</v>
      </c>
      <c r="D20" s="187" t="s">
        <v>1457</v>
      </c>
      <c r="E20" s="193" t="str">
        <f ca="1">HYPERLINK("#" &amp; CELL("address", 'V1.40'!$A$2), "SEPA R-transactions")</f>
        <v>SEPA R-transactions</v>
      </c>
      <c r="F20" s="187">
        <v>12</v>
      </c>
    </row>
    <row r="21" spans="1:6" x14ac:dyDescent="0.2">
      <c r="A21" s="187">
        <v>15</v>
      </c>
      <c r="B21" s="187" t="s">
        <v>250</v>
      </c>
      <c r="C21" s="187" t="s">
        <v>1705</v>
      </c>
      <c r="D21" s="187" t="s">
        <v>373</v>
      </c>
      <c r="E21" s="193" t="str">
        <f ca="1">HYPERLINK("#" &amp; CELL("address", 'V1.30+V1.30-F'!$A$2), "Direct debits - reporting as creditor's PSP (payments)")</f>
        <v>Direct debits - reporting as creditor's PSP (payments)</v>
      </c>
      <c r="F21" s="187">
        <v>6</v>
      </c>
    </row>
    <row r="22" spans="1:6" x14ac:dyDescent="0.2">
      <c r="A22" s="187">
        <v>16</v>
      </c>
      <c r="B22" s="187" t="s">
        <v>487</v>
      </c>
      <c r="C22" s="187" t="s">
        <v>487</v>
      </c>
      <c r="D22" s="187" t="s">
        <v>1541</v>
      </c>
      <c r="E22" s="193" t="str">
        <f ca="1">HYPERLINK("#" &amp; CELL("address", 'V1.30+V1.30-F'!$A$23), "Direct debits - reporting as creditor's PSP (fraud)")</f>
        <v>Direct debits - reporting as creditor's PSP (fraud)</v>
      </c>
      <c r="F22" s="187">
        <v>7</v>
      </c>
    </row>
    <row r="23" spans="1:6" x14ac:dyDescent="0.2">
      <c r="A23" s="187">
        <v>17</v>
      </c>
      <c r="B23" s="187" t="s">
        <v>258</v>
      </c>
      <c r="C23" s="187" t="s">
        <v>1706</v>
      </c>
      <c r="D23" s="187" t="s">
        <v>1457</v>
      </c>
      <c r="E23" s="193" t="str">
        <f ca="1">HYPERLINK("#" &amp; CELL("address", 'V1.40'!$A$2), "SEPA R-transactions")</f>
        <v>SEPA R-transactions</v>
      </c>
      <c r="F23" s="187">
        <v>13</v>
      </c>
    </row>
    <row r="24" spans="1:6" x14ac:dyDescent="0.2">
      <c r="A24" s="187">
        <v>18</v>
      </c>
      <c r="B24" s="187" t="s">
        <v>231</v>
      </c>
      <c r="C24" s="187" t="s">
        <v>1707</v>
      </c>
      <c r="D24" s="187" t="s">
        <v>1466</v>
      </c>
      <c r="E24" s="193" t="str">
        <f ca="1">HYPERLINK("#" &amp; CELL("address", 'V1.200'!$A$2), "Stock of issued payment cards")</f>
        <v>Stock of issued payment cards</v>
      </c>
      <c r="F24" s="187">
        <v>43</v>
      </c>
    </row>
    <row r="25" spans="1:6" x14ac:dyDescent="0.2">
      <c r="A25" s="187">
        <v>19</v>
      </c>
      <c r="B25" s="187" t="s">
        <v>231</v>
      </c>
      <c r="C25" s="187" t="s">
        <v>1708</v>
      </c>
      <c r="D25" s="187" t="s">
        <v>1467</v>
      </c>
      <c r="E25" s="193" t="str">
        <f ca="1">HYPERLINK("#" &amp; CELL("address", 'V1.201'!$A$2), "Stock of distributed payment cards")</f>
        <v>Stock of distributed payment cards</v>
      </c>
      <c r="F25" s="187">
        <v>44</v>
      </c>
    </row>
    <row r="26" spans="1:6" x14ac:dyDescent="0.2">
      <c r="A26" s="187">
        <v>20</v>
      </c>
      <c r="B26" s="187" t="s">
        <v>237</v>
      </c>
      <c r="C26" s="187" t="s">
        <v>322</v>
      </c>
      <c r="D26" s="187" t="s">
        <v>1101</v>
      </c>
      <c r="E26" s="193" t="str">
        <f ca="1">HYPERLINK("#" &amp; CELL("address", 'V1.53'!$A$2), "Fundings and withdrawals related to prepaid cards")</f>
        <v>Fundings and withdrawals related to prepaid cards</v>
      </c>
      <c r="F26" s="187">
        <v>24</v>
      </c>
    </row>
    <row r="27" spans="1:6" x14ac:dyDescent="0.2">
      <c r="A27" s="187">
        <v>21</v>
      </c>
      <c r="B27" s="187" t="s">
        <v>225</v>
      </c>
      <c r="C27" s="187" t="s">
        <v>323</v>
      </c>
      <c r="D27" s="187" t="s">
        <v>1468</v>
      </c>
      <c r="E27" s="193" t="str">
        <f ca="1">HYPERLINK("#" &amp; CELL("address", 'V1.210'!$A$2), "Stock of terminals by terminal type")</f>
        <v>Stock of terminals by terminal type</v>
      </c>
      <c r="F27" s="187">
        <v>45</v>
      </c>
    </row>
    <row r="28" spans="1:6" x14ac:dyDescent="0.2">
      <c r="A28" s="187">
        <v>22</v>
      </c>
      <c r="B28" s="187" t="s">
        <v>1709</v>
      </c>
      <c r="C28" s="187" t="s">
        <v>1710</v>
      </c>
      <c r="D28" s="187" t="s">
        <v>1098</v>
      </c>
      <c r="E28" s="193" t="str">
        <f ca="1">HYPERLINK("#" &amp; CELL("address", 'V1.50+V1.50-F'!$A$2), "Card transactions with cards issued by resident PSPs (payments)")</f>
        <v>Card transactions with cards issued by resident PSPs (payments)</v>
      </c>
      <c r="F28" s="187">
        <v>19</v>
      </c>
    </row>
    <row r="29" spans="1:6" x14ac:dyDescent="0.2">
      <c r="A29" s="187">
        <v>23</v>
      </c>
      <c r="B29" s="187" t="s">
        <v>487</v>
      </c>
      <c r="C29" s="187" t="s">
        <v>487</v>
      </c>
      <c r="D29" s="187" t="s">
        <v>1542</v>
      </c>
      <c r="E29" s="193" t="str">
        <f ca="1">HYPERLINK("#" &amp; CELL("address", 'V1.50+V1.50-F'!$A$23), "Card transactions with cards issued by resident PSPs (fraud)")</f>
        <v>Card transactions with cards issued by resident PSPs (fraud)</v>
      </c>
      <c r="F29" s="187">
        <v>20</v>
      </c>
    </row>
    <row r="30" spans="1:6" x14ac:dyDescent="0.2">
      <c r="A30" s="187">
        <v>24</v>
      </c>
      <c r="B30" s="187" t="s">
        <v>487</v>
      </c>
      <c r="C30" s="187" t="s">
        <v>487</v>
      </c>
      <c r="D30" s="187" t="s">
        <v>1099</v>
      </c>
      <c r="E30" s="193" t="str">
        <f ca="1">HYPERLINK("#" &amp; CELL("address", 'V1.51'!$A$2), "Electronic card transactions with cards issued by resident PSPs, split by Merchant Category Codes (MCC)")</f>
        <v>Electronic card transactions with cards issued by resident PSPs, split by Merchant Category Codes (MCC)</v>
      </c>
      <c r="F30" s="187">
        <v>21</v>
      </c>
    </row>
    <row r="31" spans="1:6" x14ac:dyDescent="0.2">
      <c r="A31" s="187">
        <v>25</v>
      </c>
      <c r="B31" s="187" t="s">
        <v>1711</v>
      </c>
      <c r="C31" s="187" t="s">
        <v>1712</v>
      </c>
      <c r="D31" s="187" t="s">
        <v>1100</v>
      </c>
      <c r="E31" s="193" t="str">
        <f ca="1">HYPERLINK("#" &amp; CELL("address", 'V1.52+V1.52-F'!$A$2), "Card transactions acquired by resident PSPs (payments)")</f>
        <v>Card transactions acquired by resident PSPs (payments)</v>
      </c>
      <c r="F31" s="187">
        <v>22</v>
      </c>
    </row>
    <row r="32" spans="1:6" x14ac:dyDescent="0.2">
      <c r="A32" s="187">
        <v>26</v>
      </c>
      <c r="B32" s="187" t="s">
        <v>487</v>
      </c>
      <c r="C32" s="187" t="s">
        <v>487</v>
      </c>
      <c r="D32" s="187" t="s">
        <v>1543</v>
      </c>
      <c r="E32" s="193" t="str">
        <f ca="1">HYPERLINK("#" &amp; CELL("address", 'V1.52+V1.52-F'!$A$23), "Card transactions acquired by resident PSPs (fraud)")</f>
        <v>Card transactions acquired by resident PSPs (fraud)</v>
      </c>
      <c r="F32" s="187">
        <v>23</v>
      </c>
    </row>
    <row r="33" spans="1:6" x14ac:dyDescent="0.2">
      <c r="A33" s="187">
        <v>27</v>
      </c>
      <c r="B33" s="187" t="s">
        <v>226</v>
      </c>
      <c r="C33" s="187" t="s">
        <v>1713</v>
      </c>
      <c r="D33" s="187" t="s">
        <v>1460</v>
      </c>
      <c r="E33" s="193" t="str">
        <f ca="1">HYPERLINK("#" &amp; CELL("address", 'V1.60+V1.60-F'!$A$2), "Cheques and money remittances (payments)")</f>
        <v>Cheques and money remittances (payments)</v>
      </c>
      <c r="F33" s="187">
        <v>25</v>
      </c>
    </row>
    <row r="34" spans="1:6" x14ac:dyDescent="0.2">
      <c r="A34" s="187">
        <v>28</v>
      </c>
      <c r="B34" s="187" t="s">
        <v>487</v>
      </c>
      <c r="C34" s="187" t="s">
        <v>487</v>
      </c>
      <c r="D34" s="187" t="s">
        <v>1544</v>
      </c>
      <c r="E34" s="193" t="str">
        <f ca="1">HYPERLINK("#" &amp; CELL("address", 'V1.60+V1.60-F'!$A$23), "Cheques and money remittances (fraud)")</f>
        <v>Cheques and money remittances (fraud)</v>
      </c>
      <c r="F34" s="187">
        <v>27</v>
      </c>
    </row>
    <row r="35" spans="1:6" x14ac:dyDescent="0.2">
      <c r="A35" s="187">
        <v>29</v>
      </c>
      <c r="B35" s="187" t="s">
        <v>254</v>
      </c>
      <c r="C35" s="187" t="s">
        <v>1714</v>
      </c>
      <c r="D35" s="187" t="s">
        <v>1460</v>
      </c>
      <c r="E35" s="193" t="str">
        <f ca="1">HYPERLINK("#" &amp; CELL("address", 'V1.60+V1.60-F'!$A$2), "Cheques and money remittances (payments)")</f>
        <v>Cheques and money remittances (payments)</v>
      </c>
      <c r="F35" s="187">
        <v>26</v>
      </c>
    </row>
    <row r="36" spans="1:6" x14ac:dyDescent="0.2">
      <c r="A36" s="187">
        <v>30</v>
      </c>
      <c r="B36" s="187" t="s">
        <v>236</v>
      </c>
      <c r="C36" s="187" t="s">
        <v>1715</v>
      </c>
      <c r="D36" s="187" t="s">
        <v>1470</v>
      </c>
      <c r="E36" s="193" t="str">
        <f ca="1">HYPERLINK("#" &amp; CELL("address", 'V1.221'!$A$2), "Stock of e-money accounts")</f>
        <v>Stock of e-money accounts</v>
      </c>
      <c r="F36" s="187">
        <v>50</v>
      </c>
    </row>
    <row r="37" spans="1:6" x14ac:dyDescent="0.2">
      <c r="A37" s="187">
        <v>31</v>
      </c>
      <c r="B37" s="187" t="s">
        <v>1716</v>
      </c>
      <c r="C37" s="187" t="s">
        <v>1717</v>
      </c>
      <c r="D37" s="187" t="s">
        <v>1468</v>
      </c>
      <c r="E37" s="193" t="str">
        <f ca="1">HYPERLINK("#" &amp; CELL("address", 'V1.210'!$A$2), "Stock of terminals by terminal type")</f>
        <v>Stock of terminals by terminal type</v>
      </c>
      <c r="F37" s="187">
        <v>46</v>
      </c>
    </row>
    <row r="38" spans="1:6" x14ac:dyDescent="0.2">
      <c r="A38" s="187">
        <v>32</v>
      </c>
      <c r="B38" s="187" t="s">
        <v>232</v>
      </c>
      <c r="C38" s="187" t="s">
        <v>335</v>
      </c>
      <c r="D38" s="187" t="s">
        <v>1462</v>
      </c>
      <c r="E38" s="193" t="str">
        <f ca="1">HYPERLINK("#" &amp; CELL("address", 'V1.90'!$A$2), "Fundings and withdrawals in e-money (except prepaid cards)")</f>
        <v>Fundings and withdrawals in e-money (except prepaid cards)</v>
      </c>
      <c r="F38" s="187">
        <v>32</v>
      </c>
    </row>
    <row r="39" spans="1:6" x14ac:dyDescent="0.2">
      <c r="A39" s="187">
        <v>33</v>
      </c>
      <c r="B39" s="187" t="s">
        <v>253</v>
      </c>
      <c r="C39" s="187" t="s">
        <v>336</v>
      </c>
      <c r="D39" s="187" t="s">
        <v>1463</v>
      </c>
      <c r="E39" s="193" t="str">
        <f ca="1">HYPERLINK("#" &amp; CELL("address", 'V1.91+V1.91-F'!$A$2), "E-money transfers (payments)")</f>
        <v>E-money transfers (payments)</v>
      </c>
      <c r="F39" s="187">
        <v>35</v>
      </c>
    </row>
    <row r="40" spans="1:6" x14ac:dyDescent="0.2">
      <c r="A40" s="187">
        <v>34</v>
      </c>
      <c r="B40" s="187" t="s">
        <v>487</v>
      </c>
      <c r="C40" s="187" t="s">
        <v>487</v>
      </c>
      <c r="D40" s="187" t="s">
        <v>1545</v>
      </c>
      <c r="E40" s="193" t="str">
        <f ca="1">HYPERLINK("#" &amp; CELL("address", 'V1.91+V1.91-F'!$A$23), "E-money transfers sent (fraud)")</f>
        <v>E-money transfers sent (fraud)</v>
      </c>
      <c r="F40" s="187">
        <v>37</v>
      </c>
    </row>
    <row r="41" spans="1:6" x14ac:dyDescent="0.2">
      <c r="A41" s="187">
        <v>35</v>
      </c>
      <c r="B41" s="187" t="s">
        <v>229</v>
      </c>
      <c r="C41" s="187" t="s">
        <v>337</v>
      </c>
      <c r="D41" s="189" t="s">
        <v>487</v>
      </c>
      <c r="E41" s="189" t="s">
        <v>487</v>
      </c>
      <c r="F41" s="187">
        <v>38</v>
      </c>
    </row>
    <row r="42" spans="1:6" x14ac:dyDescent="0.2">
      <c r="A42" s="187">
        <v>36</v>
      </c>
      <c r="B42" s="187" t="s">
        <v>1718</v>
      </c>
      <c r="C42" s="187" t="s">
        <v>1719</v>
      </c>
      <c r="D42" s="187" t="s">
        <v>1470</v>
      </c>
      <c r="E42" s="193" t="str">
        <f ca="1">HYPERLINK("#" &amp; CELL("address", 'V1.221'!$A$2), "Stock of e-money accounts")</f>
        <v>Stock of e-money accounts</v>
      </c>
      <c r="F42" s="187">
        <v>51</v>
      </c>
    </row>
    <row r="43" spans="1:6" x14ac:dyDescent="0.2">
      <c r="A43" s="187">
        <v>37</v>
      </c>
      <c r="B43" s="187" t="s">
        <v>1720</v>
      </c>
      <c r="C43" s="187" t="s">
        <v>1721</v>
      </c>
      <c r="D43" s="187" t="s">
        <v>1468</v>
      </c>
      <c r="E43" s="193" t="str">
        <f ca="1">HYPERLINK("#" &amp; CELL("address", 'V1.210'!$A$2), "Stock of terminals by terminal type")</f>
        <v>Stock of terminals by terminal type</v>
      </c>
      <c r="F43" s="187">
        <v>47</v>
      </c>
    </row>
    <row r="44" spans="1:6" x14ac:dyDescent="0.2">
      <c r="A44" s="187">
        <v>38</v>
      </c>
      <c r="B44" s="187" t="s">
        <v>1722</v>
      </c>
      <c r="C44" s="187" t="s">
        <v>1723</v>
      </c>
      <c r="D44" s="187" t="s">
        <v>1462</v>
      </c>
      <c r="E44" s="193" t="str">
        <f ca="1">HYPERLINK("#" &amp; CELL("address", 'V1.90'!$A$2), "Fundings and withdrawals in e-money (except prepaid cards)")</f>
        <v>Fundings and withdrawals in e-money (except prepaid cards)</v>
      </c>
      <c r="F44" s="187">
        <v>33</v>
      </c>
    </row>
    <row r="45" spans="1:6" x14ac:dyDescent="0.2">
      <c r="A45" s="187">
        <v>39</v>
      </c>
      <c r="B45" s="187" t="s">
        <v>1724</v>
      </c>
      <c r="C45" s="187" t="s">
        <v>1725</v>
      </c>
      <c r="D45" s="187" t="s">
        <v>1463</v>
      </c>
      <c r="E45" s="193" t="str">
        <f ca="1">HYPERLINK("#" &amp; CELL("address", 'V1.91+V1.91-F'!$A$2), "E-money transfers (payments)")</f>
        <v>E-money transfers (payments)</v>
      </c>
      <c r="F45" s="187">
        <v>34</v>
      </c>
    </row>
    <row r="46" spans="1:6" x14ac:dyDescent="0.2">
      <c r="A46" s="187">
        <v>40</v>
      </c>
      <c r="B46" s="187" t="s">
        <v>487</v>
      </c>
      <c r="C46" s="187" t="s">
        <v>487</v>
      </c>
      <c r="D46" s="187" t="s">
        <v>1545</v>
      </c>
      <c r="E46" s="193" t="str">
        <f ca="1">HYPERLINK("#" &amp; CELL("address", 'V1.91+V1.91-F'!$A$23), "E-money transfers sent (fraud)")</f>
        <v>E-money transfers sent (fraud)</v>
      </c>
      <c r="F46" s="187">
        <v>36</v>
      </c>
    </row>
    <row r="47" spans="1:6" x14ac:dyDescent="0.2">
      <c r="A47" s="187">
        <v>41</v>
      </c>
      <c r="B47" s="187" t="s">
        <v>1726</v>
      </c>
      <c r="C47" s="187" t="s">
        <v>326</v>
      </c>
      <c r="D47" s="187" t="s">
        <v>1469</v>
      </c>
      <c r="E47" s="193" t="str">
        <f ca="1">HYPERLINK("#" &amp; CELL("address", 'V1.220'!$A$2), "Stock of accounts (except e-money accounts)")</f>
        <v>Stock of accounts (except e-money accounts)</v>
      </c>
      <c r="F47" s="187">
        <v>48</v>
      </c>
    </row>
    <row r="48" spans="1:6" x14ac:dyDescent="0.2">
      <c r="A48" s="187">
        <v>42</v>
      </c>
      <c r="B48" s="187" t="s">
        <v>1727</v>
      </c>
      <c r="C48" s="187" t="s">
        <v>1728</v>
      </c>
      <c r="D48" s="187" t="s">
        <v>1102</v>
      </c>
      <c r="E48" s="193" t="str">
        <f ca="1">HYPERLINK("#" &amp; CELL("address", 'V1.70'!$A$2), "Over-the-counter (OTC) cash transactions")</f>
        <v>Over-the-counter (OTC) cash transactions</v>
      </c>
      <c r="F48" s="187">
        <v>28</v>
      </c>
    </row>
    <row r="49" spans="1:6" x14ac:dyDescent="0.2">
      <c r="A49" s="187">
        <v>43</v>
      </c>
      <c r="B49" s="187" t="s">
        <v>1729</v>
      </c>
      <c r="C49" s="187" t="s">
        <v>328</v>
      </c>
      <c r="D49" s="187" t="s">
        <v>487</v>
      </c>
      <c r="E49" s="187" t="s">
        <v>487</v>
      </c>
      <c r="F49" s="187">
        <v>55</v>
      </c>
    </row>
    <row r="50" spans="1:6" x14ac:dyDescent="0.2">
      <c r="A50" s="187">
        <v>44</v>
      </c>
      <c r="B50" s="187" t="s">
        <v>1730</v>
      </c>
      <c r="C50" s="187" t="s">
        <v>329</v>
      </c>
      <c r="D50" s="187" t="s">
        <v>1461</v>
      </c>
      <c r="E50" s="193" t="str">
        <f ca="1">HYPERLINK("#" &amp; CELL("address", 'V1.80'!$A$2), "Book entries")</f>
        <v>Book entries</v>
      </c>
      <c r="F50" s="187">
        <v>30</v>
      </c>
    </row>
    <row r="51" spans="1:6" x14ac:dyDescent="0.2">
      <c r="A51" s="187">
        <v>45</v>
      </c>
      <c r="B51" s="187" t="s">
        <v>1731</v>
      </c>
      <c r="C51" s="187" t="s">
        <v>330</v>
      </c>
      <c r="D51" s="187" t="s">
        <v>1461</v>
      </c>
      <c r="E51" s="193" t="str">
        <f ca="1">HYPERLINK("#" &amp; CELL("address", 'V1.80'!$A$2), "Book entries")</f>
        <v>Book entries</v>
      </c>
      <c r="F51" s="187">
        <v>31</v>
      </c>
    </row>
    <row r="52" spans="1:6" x14ac:dyDescent="0.2">
      <c r="A52" s="187">
        <v>46</v>
      </c>
      <c r="B52" s="187" t="s">
        <v>1732</v>
      </c>
      <c r="C52" s="187" t="s">
        <v>1733</v>
      </c>
      <c r="D52" s="187" t="s">
        <v>1469</v>
      </c>
      <c r="E52" s="193" t="str">
        <f ca="1">HYPERLINK("#" &amp; CELL("address", 'V1.220'!$A$2), "Stock of accounts (except e-money accounts)")</f>
        <v>Stock of accounts (except e-money accounts)</v>
      </c>
      <c r="F52" s="187">
        <v>49</v>
      </c>
    </row>
    <row r="53" spans="1:6" x14ac:dyDescent="0.2">
      <c r="A53" s="187">
        <v>47</v>
      </c>
      <c r="B53" s="187" t="s">
        <v>1734</v>
      </c>
      <c r="C53" s="187" t="s">
        <v>1735</v>
      </c>
      <c r="D53" s="187" t="s">
        <v>1095</v>
      </c>
      <c r="E53" s="193" t="str">
        <f ca="1">HYPERLINK("#" &amp; CELL("address", 'V1.20+V1.20-F'!$A$2), "Customer credit transfers sent (payments)")</f>
        <v>Customer credit transfers sent (payments)</v>
      </c>
      <c r="F53" s="187">
        <v>2</v>
      </c>
    </row>
    <row r="54" spans="1:6" x14ac:dyDescent="0.2">
      <c r="A54" s="187">
        <v>48</v>
      </c>
      <c r="B54" s="187" t="s">
        <v>487</v>
      </c>
      <c r="C54" s="187" t="s">
        <v>487</v>
      </c>
      <c r="D54" s="188" t="s">
        <v>1540</v>
      </c>
      <c r="E54" s="194" t="str">
        <f ca="1">HYPERLINK("#" &amp; CELL("address", 'V1.20+V1.20-F'!$A$23), "Customer credit transfers sent (fraud)")</f>
        <v>Customer credit transfers sent (fraud)</v>
      </c>
      <c r="F54" s="187">
        <v>4</v>
      </c>
    </row>
    <row r="55" spans="1:6" x14ac:dyDescent="0.2">
      <c r="A55" s="187">
        <v>49</v>
      </c>
      <c r="B55" s="187" t="s">
        <v>1734</v>
      </c>
      <c r="C55" s="187" t="s">
        <v>1736</v>
      </c>
      <c r="D55" s="187" t="s">
        <v>1464</v>
      </c>
      <c r="E55" s="194" t="str">
        <f ca="1">HYPERLINK("#" &amp; CELL("address", 'V1.100'!$A$2), "Payment services provided by e-money institutions and payment institutions without the provision of payment accounts")</f>
        <v>Payment services provided by e-money institutions and payment institutions without the provision of payment accounts</v>
      </c>
      <c r="F55" s="187">
        <v>39</v>
      </c>
    </row>
    <row r="56" spans="1:6" x14ac:dyDescent="0.2">
      <c r="A56" s="187">
        <v>50</v>
      </c>
      <c r="B56" s="187" t="s">
        <v>1737</v>
      </c>
      <c r="C56" s="187" t="s">
        <v>1738</v>
      </c>
      <c r="D56" s="187" t="s">
        <v>1464</v>
      </c>
      <c r="E56" s="193" t="str">
        <f ca="1">HYPERLINK("#" &amp; CELL("address", 'V1.100'!$A$2), "Payment services provided by e-money institutions and payment institutions without the provision of payment accounts")</f>
        <v>Payment services provided by e-money institutions and payment institutions without the provision of payment accounts</v>
      </c>
      <c r="F56" s="187">
        <v>40</v>
      </c>
    </row>
    <row r="57" spans="1:6" x14ac:dyDescent="0.2">
      <c r="A57" s="187">
        <v>51</v>
      </c>
      <c r="B57" s="187" t="s">
        <v>487</v>
      </c>
      <c r="C57" s="187" t="s">
        <v>487</v>
      </c>
      <c r="D57" s="187" t="s">
        <v>1465</v>
      </c>
      <c r="E57" s="193" t="str">
        <f ca="1">HYPERLINK("#" &amp; CELL("address", 'V1.110+V1.110-F'!$A$2), "Payment initiation services (payments)")</f>
        <v>Payment initiation services (payments)</v>
      </c>
      <c r="F57" s="187">
        <v>41</v>
      </c>
    </row>
    <row r="58" spans="1:6" x14ac:dyDescent="0.2">
      <c r="A58" s="187">
        <v>52</v>
      </c>
      <c r="B58" s="187" t="s">
        <v>487</v>
      </c>
      <c r="C58" s="187" t="s">
        <v>487</v>
      </c>
      <c r="D58" s="187" t="s">
        <v>1546</v>
      </c>
      <c r="E58" s="193" t="str">
        <f ca="1">HYPERLINK("#" &amp; CELL("address", 'V1.110+V1.110-F'!$A$23), "Payment initiation services (fraud)")</f>
        <v>Payment initiation services (fraud)</v>
      </c>
      <c r="F58" s="187">
        <v>42</v>
      </c>
    </row>
    <row r="59" spans="1:6" x14ac:dyDescent="0.2">
      <c r="A59" s="187">
        <v>53</v>
      </c>
      <c r="B59" s="187" t="s">
        <v>487</v>
      </c>
      <c r="C59" s="187" t="s">
        <v>487</v>
      </c>
      <c r="D59" s="187" t="s">
        <v>1471</v>
      </c>
      <c r="E59" s="193" t="str">
        <f ca="1">HYPERLINK("#" &amp; CELL("address", 'V1.222'!$A$2), "Stock of accessed accounts - account information services (AIS)")</f>
        <v>Stock of accessed accounts - account information services (AIS)</v>
      </c>
      <c r="F59" s="187">
        <v>52</v>
      </c>
    </row>
    <row r="60" spans="1:6" x14ac:dyDescent="0.2">
      <c r="A60" s="187">
        <v>54</v>
      </c>
      <c r="B60" s="187" t="s">
        <v>487</v>
      </c>
      <c r="C60" s="187" t="s">
        <v>487</v>
      </c>
      <c r="D60" s="187" t="s">
        <v>1472</v>
      </c>
      <c r="E60" s="193" t="str">
        <f ca="1">HYPERLINK("#" &amp; CELL("address", 'V1.230'!$A$2), "Number of customers")</f>
        <v>Number of customers</v>
      </c>
      <c r="F60" s="187">
        <v>53</v>
      </c>
    </row>
    <row r="61" spans="1:6" x14ac:dyDescent="0.2">
      <c r="A61" s="187">
        <v>55</v>
      </c>
      <c r="B61" s="187" t="s">
        <v>487</v>
      </c>
      <c r="C61" s="187" t="s">
        <v>487</v>
      </c>
      <c r="D61" s="187" t="s">
        <v>1539</v>
      </c>
      <c r="E61" s="193" t="str">
        <f ca="1">HYPERLINK("#" &amp; CELL("address", 'V1.300-F'!$A$2), "Losses due to fraud per liability bearer")</f>
        <v>Losses due to fraud per liability bearer</v>
      </c>
      <c r="F61" s="187">
        <v>54</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00"/>
  <sheetViews>
    <sheetView zoomScale="115" zoomScaleNormal="115" workbookViewId="0">
      <pane xSplit="1" ySplit="3" topLeftCell="B477" activePane="bottomRight" state="frozen"/>
      <selection pane="topRight" activeCell="B1" sqref="B1"/>
      <selection pane="bottomLeft" activeCell="A4" sqref="A4"/>
      <selection pane="bottomRight" activeCell="A496" sqref="A496"/>
    </sheetView>
  </sheetViews>
  <sheetFormatPr defaultRowHeight="14.25" x14ac:dyDescent="0.2"/>
  <cols>
    <col min="1" max="1" width="17.875" style="178" bestFit="1" customWidth="1"/>
    <col min="2" max="2" width="15.25" style="176" customWidth="1"/>
    <col min="3" max="3" width="14.5" style="176" customWidth="1"/>
    <col min="4" max="4" width="55" style="46" customWidth="1"/>
  </cols>
  <sheetData>
    <row r="1" spans="1:4" ht="15" x14ac:dyDescent="0.2">
      <c r="A1" s="180" t="s">
        <v>1679</v>
      </c>
    </row>
    <row r="3" spans="1:4" ht="35.25" customHeight="1" x14ac:dyDescent="0.2">
      <c r="A3" s="182" t="s">
        <v>1685</v>
      </c>
      <c r="B3" s="177" t="s">
        <v>1677</v>
      </c>
      <c r="C3" s="181" t="s">
        <v>1691</v>
      </c>
      <c r="D3" s="167" t="s">
        <v>1678</v>
      </c>
    </row>
    <row r="4" spans="1:4" x14ac:dyDescent="0.2">
      <c r="A4" s="178">
        <v>44251.443055555559</v>
      </c>
      <c r="B4" s="176" t="s">
        <v>1552</v>
      </c>
      <c r="C4" s="179" t="s">
        <v>1680</v>
      </c>
      <c r="D4" s="46" t="s">
        <v>1686</v>
      </c>
    </row>
    <row r="5" spans="1:4" x14ac:dyDescent="0.2">
      <c r="A5" s="178">
        <v>44258.639618055553</v>
      </c>
      <c r="B5" s="176" t="s">
        <v>478</v>
      </c>
      <c r="C5" s="179" t="str">
        <f ca="1">HYPERLINK("#" &amp; CELL("address", INDEX!$C$8), "C8")</f>
        <v>C8</v>
      </c>
      <c r="D5" s="46" t="s">
        <v>1682</v>
      </c>
    </row>
    <row r="6" spans="1:4" x14ac:dyDescent="0.2">
      <c r="A6" s="178">
        <v>44258.639618055553</v>
      </c>
      <c r="B6" s="176" t="s">
        <v>478</v>
      </c>
      <c r="C6" s="179" t="str">
        <f ca="1">HYPERLINK("#" &amp; CELL("address", INDEX!$C$9), "C9")</f>
        <v>C9</v>
      </c>
      <c r="D6" s="46" t="s">
        <v>1682</v>
      </c>
    </row>
    <row r="7" spans="1:4" x14ac:dyDescent="0.2">
      <c r="A7" s="178">
        <v>44258.639618055553</v>
      </c>
      <c r="B7" s="176" t="s">
        <v>478</v>
      </c>
      <c r="C7" s="179" t="str">
        <f ca="1">HYPERLINK("#" &amp; CELL("address", INDEX!$C$10), "C10")</f>
        <v>C10</v>
      </c>
      <c r="D7" s="46" t="s">
        <v>1682</v>
      </c>
    </row>
    <row r="8" spans="1:4" x14ac:dyDescent="0.2">
      <c r="A8" s="178">
        <v>44258.639618055553</v>
      </c>
      <c r="B8" s="176" t="s">
        <v>1097</v>
      </c>
      <c r="C8" s="179" t="str">
        <f ca="1">HYPERLINK("#" &amp; CELL("address", 'V1.31'!$A$2), "A2")</f>
        <v>A2</v>
      </c>
      <c r="D8" s="46" t="s">
        <v>1682</v>
      </c>
    </row>
    <row r="9" spans="1:4" x14ac:dyDescent="0.2">
      <c r="A9" s="178">
        <v>44258.639618055553</v>
      </c>
      <c r="B9" s="176" t="s">
        <v>373</v>
      </c>
      <c r="C9" s="179" t="str">
        <f ca="1">HYPERLINK("#" &amp; CELL("address", 'V1.30+V1.30-F'!$A$23), "A23")</f>
        <v>A23</v>
      </c>
      <c r="D9" s="46" t="s">
        <v>1682</v>
      </c>
    </row>
    <row r="10" spans="1:4" x14ac:dyDescent="0.2">
      <c r="A10" s="178">
        <v>44258.639618055553</v>
      </c>
      <c r="B10" s="176" t="s">
        <v>373</v>
      </c>
      <c r="C10" s="179" t="str">
        <f ca="1">HYPERLINK("#" &amp; CELL("address", 'V1.30+V1.30-F'!$A$2), "A2")</f>
        <v>A2</v>
      </c>
      <c r="D10" s="46" t="s">
        <v>1682</v>
      </c>
    </row>
    <row r="11" spans="1:4" x14ac:dyDescent="0.2">
      <c r="A11" s="178">
        <v>44258.642407407409</v>
      </c>
      <c r="B11" s="176" t="s">
        <v>373</v>
      </c>
      <c r="C11" s="179" t="str">
        <f ca="1">HYPERLINK("#" &amp; CELL("address", 'V1.30+V1.30-F'!$A$4), "A4")</f>
        <v>A4</v>
      </c>
      <c r="D11" s="46" t="s">
        <v>1683</v>
      </c>
    </row>
    <row r="12" spans="1:4" x14ac:dyDescent="0.2">
      <c r="A12" s="178">
        <v>44258.642418981479</v>
      </c>
      <c r="B12" s="176" t="s">
        <v>373</v>
      </c>
      <c r="C12" s="179" t="str">
        <f ca="1">HYPERLINK("#" &amp; CELL("address", 'V1.30+V1.30-F'!$A$10), "A9")</f>
        <v>A9</v>
      </c>
      <c r="D12" s="46" t="s">
        <v>1683</v>
      </c>
    </row>
    <row r="13" spans="1:4" x14ac:dyDescent="0.2">
      <c r="A13" s="178">
        <v>44258.642418981479</v>
      </c>
      <c r="B13" s="176" t="s">
        <v>373</v>
      </c>
      <c r="C13" s="179" t="str">
        <f ca="1">HYPERLINK("#" &amp; CELL("address", 'V1.30+V1.30-F'!$A$15), "A15")</f>
        <v>A15</v>
      </c>
      <c r="D13" s="46" t="s">
        <v>1683</v>
      </c>
    </row>
    <row r="14" spans="1:4" x14ac:dyDescent="0.2">
      <c r="A14" s="178">
        <v>44258.642789351848</v>
      </c>
      <c r="B14" s="176" t="s">
        <v>1097</v>
      </c>
      <c r="C14" s="179" t="str">
        <f ca="1">HYPERLINK("#" &amp; CELL("address", 'V1.31'!$A$4), "A4")</f>
        <v>A4</v>
      </c>
      <c r="D14" s="46" t="s">
        <v>1683</v>
      </c>
    </row>
    <row r="15" spans="1:4" x14ac:dyDescent="0.2">
      <c r="A15" s="178">
        <v>44258.642789351848</v>
      </c>
      <c r="B15" s="176" t="s">
        <v>1097</v>
      </c>
      <c r="C15" s="179" t="str">
        <f ca="1">HYPERLINK("#" &amp; CELL("address", 'V1.31'!$A$10), "A9")</f>
        <v>A9</v>
      </c>
      <c r="D15" s="46" t="s">
        <v>1683</v>
      </c>
    </row>
    <row r="16" spans="1:4" x14ac:dyDescent="0.2">
      <c r="A16" s="178">
        <v>44258.642789351848</v>
      </c>
      <c r="B16" s="176" t="s">
        <v>1097</v>
      </c>
      <c r="C16" s="179" t="str">
        <f ca="1">HYPERLINK("#" &amp; CELL("address", 'V1.31'!$A$15), "A15")</f>
        <v>A15</v>
      </c>
      <c r="D16" s="46" t="s">
        <v>1683</v>
      </c>
    </row>
    <row r="17" spans="1:4" x14ac:dyDescent="0.2">
      <c r="A17" s="178">
        <v>44258.643888888888</v>
      </c>
      <c r="B17" s="176" t="s">
        <v>1533</v>
      </c>
      <c r="C17" s="179" t="str">
        <f ca="1">HYPERLINK("#" &amp; CELL("address", 'V1.20+V1.20-F'!$M$17), "M17")</f>
        <v>M17</v>
      </c>
      <c r="D17" s="46" t="s">
        <v>1684</v>
      </c>
    </row>
    <row r="18" spans="1:4" x14ac:dyDescent="0.2">
      <c r="A18" s="178">
        <v>44258.645810185182</v>
      </c>
      <c r="B18" s="176" t="s">
        <v>1096</v>
      </c>
      <c r="C18" s="179" t="str">
        <f ca="1">HYPERLINK("#" &amp; CELL("address", 'V1.21'!$A$15), "A15")</f>
        <v>A15</v>
      </c>
      <c r="D18" s="46" t="s">
        <v>1683</v>
      </c>
    </row>
    <row r="19" spans="1:4" x14ac:dyDescent="0.2">
      <c r="A19" s="178">
        <v>44258.648923611108</v>
      </c>
      <c r="B19" s="176" t="s">
        <v>1535</v>
      </c>
      <c r="C19" s="179" t="str">
        <f ca="1">HYPERLINK("#" &amp; CELL("address", 'V1.52+V1.52-F'!$A$4), "A4")</f>
        <v>A4</v>
      </c>
      <c r="D19" s="46" t="s">
        <v>1683</v>
      </c>
    </row>
    <row r="20" spans="1:4" x14ac:dyDescent="0.2">
      <c r="A20" s="178">
        <v>44258.648923611108</v>
      </c>
      <c r="B20" s="176" t="s">
        <v>1535</v>
      </c>
      <c r="C20" s="179" t="str">
        <f ca="1">HYPERLINK("#" &amp; CELL("address", 'V1.52+V1.52-F'!$A$5), "A5")</f>
        <v>A5</v>
      </c>
      <c r="D20" s="46" t="s">
        <v>1683</v>
      </c>
    </row>
    <row r="21" spans="1:4" x14ac:dyDescent="0.2">
      <c r="A21" s="178">
        <v>44258.648923611108</v>
      </c>
      <c r="B21" s="176" t="s">
        <v>1535</v>
      </c>
      <c r="C21" s="179" t="str">
        <f ca="1">HYPERLINK("#" &amp; CELL("address", 'V1.52+V1.52-F'!$A$6), "A6")</f>
        <v>A6</v>
      </c>
      <c r="D21" s="46" t="s">
        <v>1683</v>
      </c>
    </row>
    <row r="22" spans="1:4" x14ac:dyDescent="0.2">
      <c r="A22" s="178">
        <v>44258.648923611108</v>
      </c>
      <c r="B22" s="176" t="s">
        <v>1535</v>
      </c>
      <c r="C22" s="179" t="str">
        <f ca="1">HYPERLINK("#" &amp; CELL("address", 'V1.52+V1.52-F'!$A$8), "A8")</f>
        <v>A8</v>
      </c>
      <c r="D22" s="46" t="s">
        <v>1683</v>
      </c>
    </row>
    <row r="23" spans="1:4" x14ac:dyDescent="0.2">
      <c r="A23" s="178">
        <v>44258.648923611108</v>
      </c>
      <c r="B23" s="176" t="s">
        <v>1535</v>
      </c>
      <c r="C23" s="179" t="str">
        <f ca="1">HYPERLINK("#" &amp; CELL("address", 'V1.52+V1.52-F'!$A$11), "A10")</f>
        <v>A10</v>
      </c>
      <c r="D23" s="46" t="s">
        <v>1683</v>
      </c>
    </row>
    <row r="24" spans="1:4" x14ac:dyDescent="0.2">
      <c r="A24" s="178">
        <v>44258.665520833332</v>
      </c>
      <c r="B24" s="176" t="s">
        <v>1535</v>
      </c>
      <c r="C24" s="179" t="str">
        <f ca="1">HYPERLINK("#" &amp; CELL("address", 'V1.52+V1.52-F'!$E$4), "E4")</f>
        <v>E4</v>
      </c>
      <c r="D24" s="46" t="s">
        <v>1683</v>
      </c>
    </row>
    <row r="25" spans="1:4" x14ac:dyDescent="0.2">
      <c r="A25" s="178">
        <v>44258.665520833332</v>
      </c>
      <c r="B25" s="176" t="s">
        <v>1535</v>
      </c>
      <c r="C25" s="179" t="str">
        <f ca="1">HYPERLINK("#" &amp; CELL("address", 'V1.52+V1.52-F'!$E$6), "E6")</f>
        <v>E6</v>
      </c>
      <c r="D25" s="46" t="s">
        <v>1683</v>
      </c>
    </row>
    <row r="26" spans="1:4" x14ac:dyDescent="0.2">
      <c r="A26" s="178">
        <v>44258.665520833332</v>
      </c>
      <c r="B26" s="176" t="s">
        <v>1535</v>
      </c>
      <c r="C26" s="179" t="str">
        <f ca="1">HYPERLINK("#" &amp; CELL("address", 'V1.52+V1.52-F'!$E$7), "E7")</f>
        <v>E7</v>
      </c>
      <c r="D26" s="46" t="s">
        <v>1683</v>
      </c>
    </row>
    <row r="27" spans="1:4" x14ac:dyDescent="0.2">
      <c r="A27" s="178">
        <v>44258.665520833332</v>
      </c>
      <c r="B27" s="176" t="s">
        <v>1535</v>
      </c>
      <c r="C27" s="179" t="str">
        <f ca="1">HYPERLINK("#" &amp; CELL("address", 'V1.52+V1.52-F'!$E$8), "E8")</f>
        <v>E8</v>
      </c>
      <c r="D27" s="46" t="s">
        <v>1683</v>
      </c>
    </row>
    <row r="28" spans="1:4" x14ac:dyDescent="0.2">
      <c r="A28" s="178">
        <v>44258.665520833332</v>
      </c>
      <c r="B28" s="176" t="s">
        <v>1535</v>
      </c>
      <c r="C28" s="179" t="str">
        <f ca="1">HYPERLINK("#" &amp; CELL("address", 'V1.52+V1.52-F'!$E$9), "E9")</f>
        <v>E9</v>
      </c>
      <c r="D28" s="46" t="s">
        <v>1683</v>
      </c>
    </row>
    <row r="29" spans="1:4" x14ac:dyDescent="0.2">
      <c r="A29" s="178">
        <v>44258.665879629632</v>
      </c>
      <c r="B29" s="176" t="s">
        <v>1535</v>
      </c>
      <c r="C29" s="179" t="str">
        <f ca="1">HYPERLINK("#" &amp; CELL("address", 'V1.52+V1.52-F'!$C$4), "C5")</f>
        <v>C5</v>
      </c>
      <c r="D29" s="46" t="s">
        <v>1683</v>
      </c>
    </row>
    <row r="30" spans="1:4" x14ac:dyDescent="0.2">
      <c r="A30" s="178">
        <v>44258.665879629632</v>
      </c>
      <c r="B30" s="176" t="s">
        <v>1535</v>
      </c>
      <c r="C30" s="179" t="str">
        <f ca="1">HYPERLINK("#" &amp; CELL("address", 'V1.52+V1.52-F'!$C$6), "C8")</f>
        <v>C8</v>
      </c>
      <c r="D30" s="46" t="s">
        <v>1683</v>
      </c>
    </row>
    <row r="31" spans="1:4" x14ac:dyDescent="0.2">
      <c r="A31" s="178">
        <v>44258.665879629632</v>
      </c>
      <c r="B31" s="176" t="s">
        <v>1535</v>
      </c>
      <c r="C31" s="179" t="str">
        <f ca="1">HYPERLINK("#" &amp; CELL("address", 'V1.52+V1.52-F'!$C$12), "C14")</f>
        <v>C14</v>
      </c>
      <c r="D31" s="46" t="s">
        <v>1683</v>
      </c>
    </row>
    <row r="32" spans="1:4" x14ac:dyDescent="0.2">
      <c r="A32" s="178">
        <v>44258.666666666664</v>
      </c>
      <c r="B32" s="176" t="s">
        <v>1535</v>
      </c>
      <c r="C32" s="179" t="str">
        <f ca="1">HYPERLINK("#" &amp; CELL("address", 'V1.52+V1.52-F'!$K$4), "K4")</f>
        <v>K4</v>
      </c>
      <c r="D32" s="46" t="s">
        <v>1683</v>
      </c>
    </row>
    <row r="33" spans="1:4" x14ac:dyDescent="0.2">
      <c r="A33" s="178">
        <v>44258.666666666664</v>
      </c>
      <c r="B33" s="176" t="s">
        <v>1535</v>
      </c>
      <c r="C33" s="179" t="str">
        <f ca="1">HYPERLINK("#" &amp; CELL("address", 'V1.52+V1.52-F'!$K$5), "K5")</f>
        <v>K5</v>
      </c>
      <c r="D33" s="46" t="s">
        <v>1683</v>
      </c>
    </row>
    <row r="34" spans="1:4" x14ac:dyDescent="0.2">
      <c r="A34" s="178">
        <v>44258.667395833334</v>
      </c>
      <c r="B34" s="176" t="s">
        <v>1535</v>
      </c>
      <c r="C34" s="179" t="str">
        <f ca="1">HYPERLINK("#" &amp; CELL("address", 'V1.52+V1.52-F'!$G$5), "G4")</f>
        <v>G4</v>
      </c>
      <c r="D34" s="46" t="s">
        <v>1683</v>
      </c>
    </row>
    <row r="35" spans="1:4" x14ac:dyDescent="0.2">
      <c r="A35" s="178">
        <v>44258.667395833334</v>
      </c>
      <c r="B35" s="176" t="s">
        <v>1535</v>
      </c>
      <c r="C35" s="179" t="str">
        <f ca="1">HYPERLINK("#" &amp; CELL("address", 'V1.52+V1.52-F'!$G$11), "G5")</f>
        <v>G5</v>
      </c>
      <c r="D35" s="46" t="s">
        <v>1683</v>
      </c>
    </row>
    <row r="36" spans="1:4" x14ac:dyDescent="0.2">
      <c r="A36" s="178">
        <v>44258.667395833334</v>
      </c>
      <c r="B36" s="176" t="s">
        <v>1535</v>
      </c>
      <c r="C36" s="179" t="str">
        <f ca="1">HYPERLINK("#" &amp; CELL("address", 'V1.52+V1.52-F'!$G$6), "G7")</f>
        <v>G7</v>
      </c>
      <c r="D36" s="46" t="s">
        <v>1683</v>
      </c>
    </row>
    <row r="37" spans="1:4" x14ac:dyDescent="0.2">
      <c r="A37" s="178">
        <v>44258.667395833334</v>
      </c>
      <c r="B37" s="176" t="s">
        <v>1535</v>
      </c>
      <c r="C37" s="179" t="str">
        <f ca="1">HYPERLINK("#" &amp; CELL("address", 'V1.52+V1.52-F'!$G$7), "G9")</f>
        <v>G9</v>
      </c>
      <c r="D37" s="46" t="s">
        <v>1683</v>
      </c>
    </row>
    <row r="38" spans="1:4" x14ac:dyDescent="0.2">
      <c r="A38" s="178">
        <v>44258.696493055555</v>
      </c>
      <c r="B38" s="176" t="s">
        <v>1535</v>
      </c>
      <c r="C38" s="179" t="str">
        <f ca="1">HYPERLINK("#" &amp; CELL("address", 'V1.52+V1.52-F'!$O$27), "O26")</f>
        <v>O26</v>
      </c>
      <c r="D38" s="46" t="s">
        <v>1683</v>
      </c>
    </row>
    <row r="39" spans="1:4" x14ac:dyDescent="0.2">
      <c r="A39" s="178">
        <v>44258.696493055555</v>
      </c>
      <c r="B39" s="176" t="s">
        <v>1535</v>
      </c>
      <c r="C39" s="179" t="str">
        <f ca="1">HYPERLINK("#" &amp; CELL("address", 'V1.52+V1.52-F'!$O$28), "O27")</f>
        <v>O27</v>
      </c>
      <c r="D39" s="46" t="s">
        <v>1683</v>
      </c>
    </row>
    <row r="40" spans="1:4" x14ac:dyDescent="0.2">
      <c r="A40" s="178">
        <v>44258.696493055555</v>
      </c>
      <c r="B40" s="176" t="s">
        <v>1535</v>
      </c>
      <c r="C40" s="179" t="str">
        <f ca="1">HYPERLINK("#" &amp; CELL("address", 'V1.52+V1.52-F'!$O$29), "O28")</f>
        <v>O28</v>
      </c>
      <c r="D40" s="46" t="s">
        <v>1683</v>
      </c>
    </row>
    <row r="41" spans="1:4" x14ac:dyDescent="0.2">
      <c r="A41" s="178">
        <v>44258.696493055555</v>
      </c>
      <c r="B41" s="176" t="s">
        <v>1535</v>
      </c>
      <c r="C41" s="179" t="str">
        <f ca="1">HYPERLINK("#" &amp; CELL("address", 'V1.52+V1.52-F'!$O$31), "O29")</f>
        <v>O29</v>
      </c>
      <c r="D41" s="46" t="s">
        <v>1683</v>
      </c>
    </row>
    <row r="42" spans="1:4" x14ac:dyDescent="0.2">
      <c r="A42" s="178">
        <v>44258.696493055555</v>
      </c>
      <c r="B42" s="176" t="s">
        <v>1535</v>
      </c>
      <c r="C42" s="179" t="str">
        <f ca="1">HYPERLINK("#" &amp; CELL("address", 'V1.52+V1.52-F'!$O$32), "O30")</f>
        <v>O30</v>
      </c>
      <c r="D42" s="46" t="s">
        <v>1683</v>
      </c>
    </row>
    <row r="43" spans="1:4" x14ac:dyDescent="0.2">
      <c r="A43" s="178">
        <v>44258.696493055555</v>
      </c>
      <c r="B43" s="176" t="s">
        <v>1535</v>
      </c>
      <c r="C43" s="179" t="str">
        <f ca="1">HYPERLINK("#" &amp; CELL("address", 'V1.52+V1.52-F'!$O$30), "O32")</f>
        <v>O32</v>
      </c>
      <c r="D43" s="46" t="s">
        <v>1683</v>
      </c>
    </row>
    <row r="44" spans="1:4" x14ac:dyDescent="0.2">
      <c r="A44" s="178">
        <v>44258.696493055555</v>
      </c>
      <c r="B44" s="176" t="s">
        <v>1535</v>
      </c>
      <c r="C44" s="179" t="str">
        <f ca="1">HYPERLINK("#" &amp; CELL("address", 'V1.52+V1.52-F'!$O$35), "O34")</f>
        <v>O34</v>
      </c>
      <c r="D44" s="46" t="s">
        <v>1683</v>
      </c>
    </row>
    <row r="45" spans="1:4" x14ac:dyDescent="0.2">
      <c r="A45" s="178">
        <v>44258.696898148148</v>
      </c>
      <c r="B45" s="176" t="s">
        <v>1461</v>
      </c>
      <c r="C45" s="179" t="str">
        <f ca="1">HYPERLINK("#" &amp; CELL("address", 'V1.80'!$C$4), "C4")</f>
        <v>C4</v>
      </c>
      <c r="D45" s="46" t="s">
        <v>1683</v>
      </c>
    </row>
    <row r="46" spans="1:4" x14ac:dyDescent="0.2">
      <c r="A46" s="178">
        <v>44258.696898148148</v>
      </c>
      <c r="B46" s="176" t="s">
        <v>1461</v>
      </c>
      <c r="C46" s="179" t="str">
        <f ca="1">HYPERLINK("#" &amp; CELL("address", 'V1.80'!$C$10), "C9")</f>
        <v>C9</v>
      </c>
      <c r="D46" s="46" t="s">
        <v>1683</v>
      </c>
    </row>
    <row r="47" spans="1:4" x14ac:dyDescent="0.2">
      <c r="A47" s="178">
        <v>44258.696898148148</v>
      </c>
      <c r="B47" s="176" t="s">
        <v>1461</v>
      </c>
      <c r="C47" s="179" t="str">
        <f ca="1">HYPERLINK("#" &amp; CELL("address", 'V1.80'!$C$15), "C15")</f>
        <v>C15</v>
      </c>
      <c r="D47" s="46" t="s">
        <v>1683</v>
      </c>
    </row>
    <row r="48" spans="1:4" x14ac:dyDescent="0.2">
      <c r="A48" s="178">
        <v>44258.69736111111</v>
      </c>
      <c r="B48" s="176" t="s">
        <v>1470</v>
      </c>
      <c r="C48" s="179" t="str">
        <f ca="1">HYPERLINK("#" &amp; CELL("address", 'V1.221'!$A$4), "A4")</f>
        <v>A4</v>
      </c>
      <c r="D48" s="46" t="s">
        <v>1683</v>
      </c>
    </row>
    <row r="49" spans="1:4" x14ac:dyDescent="0.2">
      <c r="A49" s="178">
        <v>44258.69736111111</v>
      </c>
      <c r="B49" s="176" t="s">
        <v>1470</v>
      </c>
      <c r="C49" s="179" t="str">
        <f ca="1">HYPERLINK("#" &amp; CELL("address", 'V1.221'!$A$5), "A5")</f>
        <v>A5</v>
      </c>
      <c r="D49" s="46" t="s">
        <v>1683</v>
      </c>
    </row>
    <row r="50" spans="1:4" ht="28.5" x14ac:dyDescent="0.2">
      <c r="A50" s="178">
        <v>44259.591296296298</v>
      </c>
      <c r="B50" s="176" t="s">
        <v>478</v>
      </c>
      <c r="C50" s="179" t="str">
        <f ca="1">HYPERLINK("#" &amp; CELL("address", INDEX!$C$7), "C7")</f>
        <v>C7</v>
      </c>
      <c r="D50" s="46" t="s">
        <v>1692</v>
      </c>
    </row>
    <row r="51" spans="1:4" ht="28.5" x14ac:dyDescent="0.2">
      <c r="A51" s="178">
        <v>44259.591296296298</v>
      </c>
      <c r="B51" s="176" t="s">
        <v>478</v>
      </c>
      <c r="C51" s="179" t="str">
        <f ca="1">HYPERLINK("#" &amp; CELL("address", INDEX!$C$10), "C10")</f>
        <v>C10</v>
      </c>
      <c r="D51" s="46" t="s">
        <v>1692</v>
      </c>
    </row>
    <row r="52" spans="1:4" ht="28.5" x14ac:dyDescent="0.2">
      <c r="A52" s="178">
        <v>44259.591539351852</v>
      </c>
      <c r="B52" s="176" t="s">
        <v>1096</v>
      </c>
      <c r="C52" s="179" t="str">
        <f ca="1">HYPERLINK("#" &amp; CELL("address", 'V1.21'!$A$2), "A2")</f>
        <v>A2</v>
      </c>
      <c r="D52" s="46" t="s">
        <v>1692</v>
      </c>
    </row>
    <row r="53" spans="1:4" ht="28.5" x14ac:dyDescent="0.2">
      <c r="A53" s="178">
        <v>44259.591631944444</v>
      </c>
      <c r="B53" s="176" t="s">
        <v>1097</v>
      </c>
      <c r="C53" s="179" t="str">
        <f ca="1">HYPERLINK("#" &amp; CELL("address", 'V1.31'!$A$2), "A2")</f>
        <v>A2</v>
      </c>
      <c r="D53" s="46" t="s">
        <v>1692</v>
      </c>
    </row>
    <row r="54" spans="1:4" ht="28.5" x14ac:dyDescent="0.2">
      <c r="A54" s="178">
        <v>44259.592870370368</v>
      </c>
      <c r="B54" s="176" t="s">
        <v>1470</v>
      </c>
      <c r="C54" s="179" t="str">
        <f ca="1">HYPERLINK("#" &amp; CELL("address", 'V1.221'!$A$2), "A2")</f>
        <v>A2</v>
      </c>
      <c r="D54" s="46" t="s">
        <v>1690</v>
      </c>
    </row>
    <row r="55" spans="1:4" ht="28.5" x14ac:dyDescent="0.2">
      <c r="A55" s="178">
        <v>44259.593124999999</v>
      </c>
      <c r="B55" s="176" t="s">
        <v>478</v>
      </c>
      <c r="C55" s="179" t="str">
        <f ca="1">HYPERLINK("#" &amp; CELL("address", INDEX!$C$37), "C37")</f>
        <v>C37</v>
      </c>
      <c r="D55" s="46" t="s">
        <v>1690</v>
      </c>
    </row>
    <row r="56" spans="1:4" x14ac:dyDescent="0.2">
      <c r="A56" s="178">
        <v>44259.59710648148</v>
      </c>
      <c r="B56" s="176" t="s">
        <v>1534</v>
      </c>
      <c r="C56" s="176" t="s">
        <v>487</v>
      </c>
      <c r="D56" s="46" t="s">
        <v>1693</v>
      </c>
    </row>
    <row r="57" spans="1:4" x14ac:dyDescent="0.2">
      <c r="A57" s="178">
        <v>44259.600775462961</v>
      </c>
      <c r="B57" s="176" t="s">
        <v>1461</v>
      </c>
      <c r="C57" s="179" t="str">
        <f ca="1">HYPERLINK("#" &amp; CELL("address", 'V1.80'!$B$4), "B4")</f>
        <v>B4</v>
      </c>
      <c r="D57" s="46" t="s">
        <v>1696</v>
      </c>
    </row>
    <row r="58" spans="1:4" ht="28.5" x14ac:dyDescent="0.2">
      <c r="A58" s="178">
        <v>44259.601111111115</v>
      </c>
      <c r="B58" s="176" t="s">
        <v>1461</v>
      </c>
      <c r="C58" s="179" t="str">
        <f ca="1">HYPERLINK("#" &amp; CELL("address", 'V1.80'!$B$5), "B5")</f>
        <v>B5</v>
      </c>
      <c r="D58" s="46" t="s">
        <v>1697</v>
      </c>
    </row>
    <row r="59" spans="1:4" x14ac:dyDescent="0.2">
      <c r="A59" s="178">
        <v>44263.381192129629</v>
      </c>
      <c r="B59" s="176" t="s">
        <v>1535</v>
      </c>
      <c r="C59" s="179" t="str">
        <f ca="1">HYPERLINK("#" &amp; CELL("address", 'V1.52+V1.52-F'!$G$25), "G25")</f>
        <v>G25</v>
      </c>
      <c r="D59" s="46" t="s">
        <v>1698</v>
      </c>
    </row>
    <row r="60" spans="1:4" x14ac:dyDescent="0.2">
      <c r="A60" s="178">
        <v>44263.381192129629</v>
      </c>
      <c r="B60" s="176" t="s">
        <v>1535</v>
      </c>
      <c r="C60" s="179" t="str">
        <f ca="1">HYPERLINK("#" &amp; CELL("address", 'V1.52+V1.52-F'!$G$26), "G26")</f>
        <v>G26</v>
      </c>
      <c r="D60" s="46" t="s">
        <v>1698</v>
      </c>
    </row>
    <row r="61" spans="1:4" x14ac:dyDescent="0.2">
      <c r="A61" s="178">
        <v>44263.381192129629</v>
      </c>
      <c r="B61" s="176" t="s">
        <v>1535</v>
      </c>
      <c r="C61" s="179" t="str">
        <f ca="1">HYPERLINK("#" &amp; CELL("address", 'V1.52+V1.52-F'!$G$27), "G27")</f>
        <v>G27</v>
      </c>
      <c r="D61" s="46" t="s">
        <v>1698</v>
      </c>
    </row>
    <row r="62" spans="1:4" x14ac:dyDescent="0.2">
      <c r="A62" s="178">
        <v>44263.381192129629</v>
      </c>
      <c r="B62" s="176" t="s">
        <v>1535</v>
      </c>
      <c r="C62" s="179" t="str">
        <f ca="1">HYPERLINK("#" &amp; CELL("address", 'V1.52+V1.52-F'!$G$28), "G28")</f>
        <v>G28</v>
      </c>
      <c r="D62" s="46" t="s">
        <v>1698</v>
      </c>
    </row>
    <row r="63" spans="1:4" x14ac:dyDescent="0.2">
      <c r="A63" s="178">
        <v>44263.381192129629</v>
      </c>
      <c r="B63" s="176" t="s">
        <v>1535</v>
      </c>
      <c r="C63" s="179" t="str">
        <f ca="1">HYPERLINK("#" &amp; CELL("address", 'V1.52+V1.52-F'!$G$29), "G29")</f>
        <v>G29</v>
      </c>
      <c r="D63" s="46" t="s">
        <v>1698</v>
      </c>
    </row>
    <row r="64" spans="1:4" x14ac:dyDescent="0.2">
      <c r="A64" s="178">
        <v>44263.381192129629</v>
      </c>
      <c r="B64" s="176" t="s">
        <v>1535</v>
      </c>
      <c r="C64" s="179" t="str">
        <f ca="1">HYPERLINK("#" &amp; CELL("address", 'V1.52+V1.52-F'!$G$30), "G30")</f>
        <v>G30</v>
      </c>
      <c r="D64" s="46" t="s">
        <v>1698</v>
      </c>
    </row>
    <row r="65" spans="1:4" x14ac:dyDescent="0.2">
      <c r="A65" s="178">
        <v>44263.381712962961</v>
      </c>
      <c r="B65" s="176" t="s">
        <v>1534</v>
      </c>
      <c r="C65" s="179" t="str">
        <f ca="1">HYPERLINK("#" &amp; CELL("address", 'V1.50+V1.50-F'!$M$18), "M18")</f>
        <v>M18</v>
      </c>
      <c r="D65" s="46" t="s">
        <v>1684</v>
      </c>
    </row>
    <row r="66" spans="1:4" x14ac:dyDescent="0.2">
      <c r="A66" s="178">
        <v>44263.38177083333</v>
      </c>
      <c r="B66" s="176" t="s">
        <v>1535</v>
      </c>
      <c r="C66" s="179" t="str">
        <f ca="1">HYPERLINK("#" &amp; CELL("address", 'V1.52+V1.52-F'!$M$16), "M16")</f>
        <v>M16</v>
      </c>
      <c r="D66" s="46" t="s">
        <v>1684</v>
      </c>
    </row>
    <row r="67" spans="1:4" x14ac:dyDescent="0.2">
      <c r="A67" s="178">
        <v>44264.66678240741</v>
      </c>
      <c r="B67" s="176" t="s">
        <v>1739</v>
      </c>
      <c r="C67" s="179" t="s">
        <v>487</v>
      </c>
      <c r="D67" s="46" t="s">
        <v>1740</v>
      </c>
    </row>
    <row r="68" spans="1:4" x14ac:dyDescent="0.2">
      <c r="A68" s="178">
        <v>44264.667083333334</v>
      </c>
      <c r="B68" s="176" t="s">
        <v>478</v>
      </c>
      <c r="C68" s="179" t="str">
        <f ca="1">HYPERLINK("#" &amp; CELL("address", INDEX!$A$48), "A47")</f>
        <v>A47</v>
      </c>
      <c r="D68" s="46" t="s">
        <v>1740</v>
      </c>
    </row>
    <row r="69" spans="1:4" x14ac:dyDescent="0.2">
      <c r="A69" s="178">
        <v>44265.591412037036</v>
      </c>
      <c r="B69" s="176" t="s">
        <v>1739</v>
      </c>
      <c r="C69" s="179" t="str">
        <f ca="1">HYPERLINK("#" &amp; CELL("address", Correspondence!$A$6), "A5")</f>
        <v>A5</v>
      </c>
      <c r="D69" s="46" t="s">
        <v>1747</v>
      </c>
    </row>
    <row r="70" spans="1:4" x14ac:dyDescent="0.2">
      <c r="A70" s="178">
        <v>44265.591412037036</v>
      </c>
      <c r="B70" s="176" t="s">
        <v>1739</v>
      </c>
      <c r="C70" s="179" t="str">
        <f ca="1">HYPERLINK("#" &amp; CELL("address", Correspondence!$B$6), "B5")</f>
        <v>B5</v>
      </c>
      <c r="D70" s="46" t="s">
        <v>1747</v>
      </c>
    </row>
    <row r="71" spans="1:4" x14ac:dyDescent="0.2">
      <c r="A71" s="178">
        <v>44265.591412037036</v>
      </c>
      <c r="B71" s="176" t="s">
        <v>1739</v>
      </c>
      <c r="C71" s="179" t="str">
        <f ca="1">HYPERLINK("#" &amp; CELL("address", Correspondence!$C$6), "C5")</f>
        <v>C5</v>
      </c>
      <c r="D71" s="46" t="s">
        <v>1747</v>
      </c>
    </row>
    <row r="72" spans="1:4" x14ac:dyDescent="0.2">
      <c r="A72" s="178">
        <v>44265.591631944444</v>
      </c>
      <c r="B72" s="176" t="s">
        <v>1739</v>
      </c>
      <c r="C72" s="179" t="str">
        <f ca="1">HYPERLINK("#" &amp; CELL("address", Correspondence!$D$6), "D5")</f>
        <v>D5</v>
      </c>
      <c r="D72" s="46" t="s">
        <v>1748</v>
      </c>
    </row>
    <row r="73" spans="1:4" x14ac:dyDescent="0.2">
      <c r="A73" s="178">
        <v>44265.591631944444</v>
      </c>
      <c r="B73" s="176" t="s">
        <v>1739</v>
      </c>
      <c r="C73" s="179" t="str">
        <f ca="1">HYPERLINK("#" &amp; CELL("address", Correspondence!$E$6), "E5")</f>
        <v>E5</v>
      </c>
      <c r="D73" s="46" t="s">
        <v>1748</v>
      </c>
    </row>
    <row r="74" spans="1:4" x14ac:dyDescent="0.2">
      <c r="A74" s="178">
        <v>44265.591631944444</v>
      </c>
      <c r="B74" s="176" t="s">
        <v>1739</v>
      </c>
      <c r="C74" s="179" t="str">
        <f ca="1">HYPERLINK("#" &amp; CELL("address", Correspondence!$F$6), "F5")</f>
        <v>F5</v>
      </c>
      <c r="D74" s="46" t="s">
        <v>1748</v>
      </c>
    </row>
    <row r="75" spans="1:4" ht="28.5" x14ac:dyDescent="0.2">
      <c r="A75" s="178">
        <v>44267.496354166666</v>
      </c>
      <c r="B75" s="176" t="s">
        <v>1739</v>
      </c>
      <c r="C75" s="179" t="str">
        <f ca="1">HYPERLINK("#" &amp; CELL("address", Correspondence!$E$42), "E41")</f>
        <v>E41</v>
      </c>
      <c r="D75" s="46" t="s">
        <v>1690</v>
      </c>
    </row>
    <row r="76" spans="1:4" x14ac:dyDescent="0.2">
      <c r="A76" s="178">
        <v>44267.558807870373</v>
      </c>
      <c r="B76" s="176" t="s">
        <v>1533</v>
      </c>
      <c r="C76" s="179" t="str">
        <f ca="1">HYPERLINK("#" &amp; CELL("address", 'V1.20+V1.20-F'!$A$48), "A50")</f>
        <v>A50</v>
      </c>
      <c r="D76" s="46" t="s">
        <v>1751</v>
      </c>
    </row>
    <row r="77" spans="1:4" x14ac:dyDescent="0.2">
      <c r="A77" s="178">
        <v>44274.411666666667</v>
      </c>
      <c r="B77" s="176" t="s">
        <v>1096</v>
      </c>
      <c r="C77" s="179" t="str">
        <f ca="1">HYPERLINK("#" &amp; CELL("address", 'V1.21'!$A$23), "A23")</f>
        <v>A23</v>
      </c>
      <c r="D77" s="46" t="s">
        <v>1752</v>
      </c>
    </row>
    <row r="78" spans="1:4" ht="28.5" x14ac:dyDescent="0.2">
      <c r="A78" s="178">
        <v>44274.419305555559</v>
      </c>
      <c r="B78" s="176" t="s">
        <v>1739</v>
      </c>
      <c r="C78" s="179" t="str">
        <f ca="1">HYPERLINK("#" &amp; CELL("address", Correspondence!$E$9), "E8")</f>
        <v>E8</v>
      </c>
      <c r="D78" s="46" t="s">
        <v>1753</v>
      </c>
    </row>
    <row r="79" spans="1:4" ht="28.5" x14ac:dyDescent="0.2">
      <c r="A79" s="178">
        <v>44274.420370370368</v>
      </c>
      <c r="B79" s="176" t="s">
        <v>1739</v>
      </c>
      <c r="C79" s="179" t="str">
        <f ca="1">HYPERLINK("#" &amp; CELL("address", Correspondence!$E$16), "E15")</f>
        <v>E15</v>
      </c>
      <c r="D79" s="46" t="s">
        <v>1753</v>
      </c>
    </row>
    <row r="80" spans="1:4" ht="28.5" x14ac:dyDescent="0.2">
      <c r="A80" s="178">
        <v>44274.420370370368</v>
      </c>
      <c r="B80" s="176" t="s">
        <v>1739</v>
      </c>
      <c r="C80" s="179" t="str">
        <f ca="1">HYPERLINK("#" &amp; CELL("address", Correspondence!$E$19), "E18")</f>
        <v>E18</v>
      </c>
      <c r="D80" s="46" t="s">
        <v>1753</v>
      </c>
    </row>
    <row r="81" spans="1:4" x14ac:dyDescent="0.2">
      <c r="A81" s="178">
        <v>44274.421446759261</v>
      </c>
      <c r="B81" s="176" t="s">
        <v>1739</v>
      </c>
      <c r="C81" s="179" t="str">
        <f ca="1">HYPERLINK("#" &amp; CELL("address", Correspondence!$E$36), "E35")</f>
        <v>E35</v>
      </c>
      <c r="D81" s="46" t="s">
        <v>1754</v>
      </c>
    </row>
    <row r="82" spans="1:4" x14ac:dyDescent="0.2">
      <c r="A82" s="178">
        <v>44274.422222222223</v>
      </c>
      <c r="B82" s="176" t="s">
        <v>1739</v>
      </c>
      <c r="C82" s="179" t="str">
        <f ca="1">HYPERLINK("#" &amp; CELL("address", Correspondence!$E$6), "E5")</f>
        <v>E5</v>
      </c>
      <c r="D82" s="46" t="s">
        <v>1755</v>
      </c>
    </row>
    <row r="83" spans="1:4" x14ac:dyDescent="0.2">
      <c r="A83" s="178">
        <v>44274.454618055555</v>
      </c>
      <c r="B83" s="176" t="s">
        <v>1502</v>
      </c>
      <c r="C83" s="179" t="str">
        <f ca="1">HYPERLINK("#" &amp; CELL("address", Concepts!$A$203), "A208")</f>
        <v>A208</v>
      </c>
      <c r="D83" s="46" t="s">
        <v>1757</v>
      </c>
    </row>
    <row r="84" spans="1:4" x14ac:dyDescent="0.2">
      <c r="A84" s="178">
        <v>44274.466770833336</v>
      </c>
      <c r="B84" s="176" t="s">
        <v>1534</v>
      </c>
      <c r="C84" s="179" t="str">
        <f ca="1">HYPERLINK("#" &amp; CELL("address", 'V1.50+V1.50-F'!$C$3), "C3")</f>
        <v>C3</v>
      </c>
      <c r="D84" s="46" t="s">
        <v>1758</v>
      </c>
    </row>
    <row r="85" spans="1:4" x14ac:dyDescent="0.2">
      <c r="A85" s="178">
        <v>44274.466932870368</v>
      </c>
      <c r="B85" s="176" t="s">
        <v>1535</v>
      </c>
      <c r="C85" s="179" t="str">
        <f ca="1">HYPERLINK("#" &amp; CELL("address", 'V1.52+V1.52-F'!$C$3), "C3")</f>
        <v>C3</v>
      </c>
      <c r="D85" s="46" t="s">
        <v>1758</v>
      </c>
    </row>
    <row r="86" spans="1:4" x14ac:dyDescent="0.2">
      <c r="A86" s="178">
        <v>44274.467048611114</v>
      </c>
      <c r="B86" s="176" t="s">
        <v>1101</v>
      </c>
      <c r="C86" s="179" t="str">
        <f ca="1">HYPERLINK("#" &amp; CELL("address", 'V1.53'!$A$3), "A3")</f>
        <v>A3</v>
      </c>
      <c r="D86" s="46" t="s">
        <v>1758</v>
      </c>
    </row>
    <row r="87" spans="1:4" x14ac:dyDescent="0.2">
      <c r="A87" s="178">
        <v>44274.467349537037</v>
      </c>
      <c r="B87" s="176" t="s">
        <v>1466</v>
      </c>
      <c r="C87" s="179" t="str">
        <f ca="1">HYPERLINK("#" &amp; CELL("address", 'V1.200'!$C$3), "C3")</f>
        <v>C3</v>
      </c>
      <c r="D87" s="46" t="s">
        <v>1758</v>
      </c>
    </row>
    <row r="88" spans="1:4" x14ac:dyDescent="0.2">
      <c r="A88" s="178">
        <v>44274.467453703706</v>
      </c>
      <c r="B88" s="176" t="s">
        <v>1467</v>
      </c>
      <c r="C88" s="179" t="str">
        <f ca="1">HYPERLINK("#" &amp; CELL("address", 'V1.201'!$C$3), "C3")</f>
        <v>C3</v>
      </c>
      <c r="D88" s="46" t="s">
        <v>1758</v>
      </c>
    </row>
    <row r="89" spans="1:4" x14ac:dyDescent="0.2">
      <c r="A89" s="178">
        <v>44274.469421296293</v>
      </c>
      <c r="B89" s="176" t="s">
        <v>1534</v>
      </c>
      <c r="C89" s="179" t="str">
        <f ca="1">HYPERLINK("#" &amp; CELL("address", 'V1.50+V1.50-F'!$C$3), "C3")</f>
        <v>C3</v>
      </c>
      <c r="D89" s="46" t="s">
        <v>1759</v>
      </c>
    </row>
    <row r="90" spans="1:4" x14ac:dyDescent="0.2">
      <c r="A90" s="178">
        <v>44274.469537037039</v>
      </c>
      <c r="B90" s="176" t="s">
        <v>1535</v>
      </c>
      <c r="C90" s="179" t="str">
        <f ca="1">HYPERLINK("#" &amp; CELL("address", 'V1.52+V1.52-F'!$C$3), "C3")</f>
        <v>C3</v>
      </c>
      <c r="D90" s="46" t="s">
        <v>1759</v>
      </c>
    </row>
    <row r="91" spans="1:4" x14ac:dyDescent="0.2">
      <c r="A91" s="178">
        <v>44274.469629629632</v>
      </c>
      <c r="B91" s="176" t="s">
        <v>1101</v>
      </c>
      <c r="C91" s="179" t="str">
        <f ca="1">HYPERLINK("#" &amp; CELL("address", 'V1.53'!$A$3), "A3")</f>
        <v>A3</v>
      </c>
      <c r="D91" s="46" t="s">
        <v>1759</v>
      </c>
    </row>
    <row r="92" spans="1:4" x14ac:dyDescent="0.2">
      <c r="A92" s="178">
        <v>44274.469826388886</v>
      </c>
      <c r="B92" s="176" t="s">
        <v>1466</v>
      </c>
      <c r="C92" s="179" t="str">
        <f ca="1">HYPERLINK("#" &amp; CELL("address", 'V1.200'!$C$3), "C3")</f>
        <v>C3</v>
      </c>
      <c r="D92" s="46" t="s">
        <v>1759</v>
      </c>
    </row>
    <row r="93" spans="1:4" x14ac:dyDescent="0.2">
      <c r="A93" s="178">
        <v>44274.469930555555</v>
      </c>
      <c r="B93" s="176" t="s">
        <v>1467</v>
      </c>
      <c r="C93" s="179" t="str">
        <f ca="1">HYPERLINK("#" &amp; CELL("address", 'V1.201'!$C$3), "C3")</f>
        <v>C3</v>
      </c>
      <c r="D93" s="46" t="s">
        <v>1759</v>
      </c>
    </row>
    <row r="94" spans="1:4" x14ac:dyDescent="0.2">
      <c r="A94" s="178">
        <v>44274.47278935185</v>
      </c>
      <c r="B94" s="176" t="s">
        <v>1502</v>
      </c>
      <c r="C94" s="179" t="str">
        <f ca="1">HYPERLINK("#" &amp; CELL("address", Concepts!$A$1), "A1")</f>
        <v>A1</v>
      </c>
      <c r="D94" s="46" t="s">
        <v>1760</v>
      </c>
    </row>
    <row r="95" spans="1:4" x14ac:dyDescent="0.2">
      <c r="A95" s="178">
        <v>44274.473067129627</v>
      </c>
      <c r="B95" s="176" t="s">
        <v>1534</v>
      </c>
      <c r="C95" s="179" t="str">
        <f ca="1">HYPERLINK("#" &amp; CELL("address", 'V1.50+V1.50-F'!$G$3), "G3")</f>
        <v>G3</v>
      </c>
      <c r="D95" s="46" t="s">
        <v>1761</v>
      </c>
    </row>
    <row r="96" spans="1:4" x14ac:dyDescent="0.2">
      <c r="A96" s="178">
        <v>44274.473240740743</v>
      </c>
      <c r="B96" s="176" t="s">
        <v>1535</v>
      </c>
      <c r="C96" s="179" t="str">
        <f ca="1">HYPERLINK("#" &amp; CELL("address", 'V1.52+V1.52-F'!$G$3), "G3")</f>
        <v>G3</v>
      </c>
      <c r="D96" s="46" t="s">
        <v>1761</v>
      </c>
    </row>
    <row r="97" spans="1:4" x14ac:dyDescent="0.2">
      <c r="A97" s="178">
        <v>44274.488263888888</v>
      </c>
      <c r="B97" s="176" t="s">
        <v>1502</v>
      </c>
      <c r="C97" s="179" t="str">
        <f ca="1">HYPERLINK("#" &amp; CELL("address", Concepts!$A$112), "A117")</f>
        <v>A117</v>
      </c>
      <c r="D97" s="46" t="s">
        <v>1763</v>
      </c>
    </row>
    <row r="98" spans="1:4" x14ac:dyDescent="0.2">
      <c r="A98" s="178">
        <v>44274.494976851849</v>
      </c>
      <c r="B98" s="176" t="s">
        <v>1534</v>
      </c>
      <c r="C98" s="179" t="str">
        <f ca="1">HYPERLINK("#" &amp; CELL("address", 'V1.50+V1.50-F'!$G$6), "G6")</f>
        <v>G6</v>
      </c>
      <c r="D98" s="46" t="s">
        <v>1766</v>
      </c>
    </row>
    <row r="99" spans="1:4" x14ac:dyDescent="0.2">
      <c r="A99" s="178">
        <v>44274.495381944442</v>
      </c>
      <c r="B99" s="176" t="s">
        <v>1535</v>
      </c>
      <c r="C99" s="179" t="str">
        <f ca="1">HYPERLINK("#" &amp; CELL("address", 'V1.52+V1.52-F'!$G$10), "G6")</f>
        <v>G6</v>
      </c>
      <c r="D99" s="46" t="s">
        <v>1766</v>
      </c>
    </row>
    <row r="100" spans="1:4" x14ac:dyDescent="0.2">
      <c r="A100" s="178">
        <v>44274.497893518521</v>
      </c>
      <c r="B100" s="176" t="s">
        <v>1502</v>
      </c>
      <c r="C100" s="179" t="str">
        <f ca="1">HYPERLINK("#" &amp; CELL("address", Concepts!$C$111), "C116")</f>
        <v>C116</v>
      </c>
      <c r="D100" s="46" t="s">
        <v>1767</v>
      </c>
    </row>
    <row r="101" spans="1:4" ht="28.5" x14ac:dyDescent="0.2">
      <c r="A101" s="178">
        <v>44274.677118055559</v>
      </c>
      <c r="B101" s="176" t="s">
        <v>1099</v>
      </c>
      <c r="C101" s="179" t="str">
        <f ca="1">HYPERLINK("#" &amp; CELL("address", 'V1.51'!$G$3), "G3")</f>
        <v>G3</v>
      </c>
      <c r="D101" s="46" t="s">
        <v>1768</v>
      </c>
    </row>
    <row r="102" spans="1:4" x14ac:dyDescent="0.2">
      <c r="A102" s="178">
        <v>44279.650879629633</v>
      </c>
      <c r="B102" s="176" t="s">
        <v>373</v>
      </c>
      <c r="C102" s="179" t="str">
        <f ca="1">HYPERLINK("#" &amp; CELL("address", 'V1.30+V1.30-F'!$A$23), "A23")</f>
        <v>A23</v>
      </c>
      <c r="D102" s="46" t="s">
        <v>1770</v>
      </c>
    </row>
    <row r="103" spans="1:4" ht="28.5" x14ac:dyDescent="0.2">
      <c r="A103" s="178">
        <v>44279.651886574073</v>
      </c>
      <c r="B103" s="176" t="s">
        <v>478</v>
      </c>
      <c r="C103" s="179" t="str">
        <f ca="1">HYPERLINK("#" &amp; CELL("address", INDEX!$A$8), "A8")</f>
        <v>A8</v>
      </c>
      <c r="D103" s="46" t="s">
        <v>1774</v>
      </c>
    </row>
    <row r="104" spans="1:4" ht="28.5" x14ac:dyDescent="0.2">
      <c r="A104" s="178">
        <v>44279.651886574073</v>
      </c>
      <c r="B104" s="176" t="s">
        <v>478</v>
      </c>
      <c r="C104" s="179" t="str">
        <f ca="1">HYPERLINK("#" &amp; CELL("address", INDEX!$A$9), "A9")</f>
        <v>A9</v>
      </c>
      <c r="D104" s="46" t="s">
        <v>1774</v>
      </c>
    </row>
    <row r="105" spans="1:4" x14ac:dyDescent="0.2">
      <c r="A105" s="178">
        <v>44279.653287037036</v>
      </c>
      <c r="B105" s="176" t="s">
        <v>478</v>
      </c>
      <c r="C105" s="179" t="str">
        <f ca="1">HYPERLINK("#" &amp; CELL("address", INDEX!$A$49), "A48")</f>
        <v>A48</v>
      </c>
      <c r="D105" s="46" t="s">
        <v>1773</v>
      </c>
    </row>
    <row r="106" spans="1:4" x14ac:dyDescent="0.2">
      <c r="A106" s="178">
        <v>44279.65488425926</v>
      </c>
      <c r="B106" s="176" t="s">
        <v>1552</v>
      </c>
      <c r="C106" s="179" t="str">
        <f ca="1">HYPERLINK("#" &amp; CELL("address", Codes!$A$1), "A1")</f>
        <v>A1</v>
      </c>
      <c r="D106" s="46" t="s">
        <v>1775</v>
      </c>
    </row>
    <row r="107" spans="1:4" x14ac:dyDescent="0.2">
      <c r="A107" s="178">
        <v>44280.433611111112</v>
      </c>
      <c r="B107" s="176" t="s">
        <v>478</v>
      </c>
      <c r="C107" s="179" t="str">
        <f ca="1">HYPERLINK("#" &amp; CELL("address", INDEX!$A$52), "A51")</f>
        <v>A51</v>
      </c>
      <c r="D107" s="46" t="s">
        <v>1776</v>
      </c>
    </row>
    <row r="108" spans="1:4" ht="28.5" x14ac:dyDescent="0.2">
      <c r="A108" s="178">
        <v>44281.446516203701</v>
      </c>
      <c r="B108" s="176" t="s">
        <v>1535</v>
      </c>
      <c r="C108" s="179" t="str">
        <f ca="1">HYPERLINK("#" &amp; CELL("address", 'V1.52+V1.52-F'!$O$24), "O24")</f>
        <v>O24</v>
      </c>
      <c r="D108" s="46" t="s">
        <v>1778</v>
      </c>
    </row>
    <row r="109" spans="1:4" ht="28.5" x14ac:dyDescent="0.2">
      <c r="A109" s="178">
        <v>44281.459131944444</v>
      </c>
      <c r="B109" s="176" t="s">
        <v>1534</v>
      </c>
      <c r="C109" s="179" t="str">
        <f ca="1">HYPERLINK("#" &amp; CELL("address", 'V1.50+V1.50-F'!$O$24), "O24")</f>
        <v>O24</v>
      </c>
      <c r="D109" s="46" t="s">
        <v>1778</v>
      </c>
    </row>
    <row r="110" spans="1:4" ht="28.5" x14ac:dyDescent="0.2">
      <c r="A110" s="178">
        <v>44281.464814814812</v>
      </c>
      <c r="B110" s="176" t="s">
        <v>1537</v>
      </c>
      <c r="C110" s="179" t="str">
        <f ca="1">HYPERLINK("#" &amp; CELL("address", 'V1.91+V1.91-F'!$K$24), "K24")</f>
        <v>K24</v>
      </c>
      <c r="D110" s="46" t="s">
        <v>1778</v>
      </c>
    </row>
    <row r="111" spans="1:4" x14ac:dyDescent="0.2">
      <c r="A111" s="178">
        <v>44281.54105324074</v>
      </c>
      <c r="B111" s="176" t="s">
        <v>1539</v>
      </c>
      <c r="C111" s="179" t="str">
        <f ca="1">HYPERLINK("#" &amp; CELL("address", 'V1.300-F'!$A$19), "A16")</f>
        <v>A16</v>
      </c>
      <c r="D111" s="46" t="s">
        <v>1752</v>
      </c>
    </row>
    <row r="112" spans="1:4" x14ac:dyDescent="0.2">
      <c r="A112" s="178">
        <v>44281.599166666667</v>
      </c>
      <c r="B112" s="176" t="s">
        <v>1502</v>
      </c>
      <c r="C112" s="179" t="str">
        <f ca="1">HYPERLINK("#" &amp; CELL("address", Concepts!$C$209), "C211")</f>
        <v>C211</v>
      </c>
      <c r="D112" s="46" t="s">
        <v>1783</v>
      </c>
    </row>
    <row r="113" spans="1:4" x14ac:dyDescent="0.2">
      <c r="A113" s="178">
        <v>44281.600185185183</v>
      </c>
      <c r="B113" s="176" t="s">
        <v>1502</v>
      </c>
      <c r="C113" s="179" t="str">
        <f ca="1">HYPERLINK("#" &amp; CELL("address", Concepts!$A$5), "A223")</f>
        <v>A223</v>
      </c>
      <c r="D113" s="46" t="s">
        <v>1785</v>
      </c>
    </row>
    <row r="114" spans="1:4" x14ac:dyDescent="0.2">
      <c r="A114" s="178">
        <v>44281.602048611108</v>
      </c>
      <c r="B114" s="176" t="s">
        <v>1502</v>
      </c>
      <c r="C114" s="179" t="str">
        <f ca="1">HYPERLINK("#" &amp; CELL("address", Concepts!$A$208), "A211")</f>
        <v>A211</v>
      </c>
      <c r="D114" s="46" t="s">
        <v>1788</v>
      </c>
    </row>
    <row r="115" spans="1:4" ht="28.5" x14ac:dyDescent="0.2">
      <c r="A115" s="178">
        <v>44281.603298611109</v>
      </c>
      <c r="B115" s="176" t="s">
        <v>1502</v>
      </c>
      <c r="C115" s="179" t="str">
        <f ca="1">HYPERLINK("#" &amp; CELL("address", Concepts!$E$192), "E195")</f>
        <v>E195</v>
      </c>
      <c r="D115" s="46" t="s">
        <v>1789</v>
      </c>
    </row>
    <row r="116" spans="1:4" x14ac:dyDescent="0.2">
      <c r="A116" s="178">
        <v>44281.603414351855</v>
      </c>
      <c r="B116" s="176" t="s">
        <v>1502</v>
      </c>
      <c r="C116" s="179" t="str">
        <f ca="1">HYPERLINK("#" &amp; CELL("address", Concepts!$C$192), "C195")</f>
        <v>C195</v>
      </c>
      <c r="D116" s="46" t="s">
        <v>1790</v>
      </c>
    </row>
    <row r="117" spans="1:4" x14ac:dyDescent="0.2">
      <c r="A117" s="178">
        <v>44281.603900462964</v>
      </c>
      <c r="B117" s="176" t="s">
        <v>1502</v>
      </c>
      <c r="C117" s="179" t="str">
        <f ca="1">HYPERLINK("#" &amp; CELL("address", Concepts!$A$191), "A194")</f>
        <v>A194</v>
      </c>
      <c r="D117" s="46" t="s">
        <v>1791</v>
      </c>
    </row>
    <row r="118" spans="1:4" x14ac:dyDescent="0.2">
      <c r="A118" s="178">
        <v>44281.604907407411</v>
      </c>
      <c r="B118" s="176" t="s">
        <v>1502</v>
      </c>
      <c r="C118" s="179" t="str">
        <f ca="1">HYPERLINK("#" &amp; CELL("address", Concepts!$A$178), "A181")</f>
        <v>A181</v>
      </c>
      <c r="D118" s="46" t="s">
        <v>1792</v>
      </c>
    </row>
    <row r="119" spans="1:4" ht="28.5" x14ac:dyDescent="0.2">
      <c r="A119" s="178">
        <v>44281.608032407406</v>
      </c>
      <c r="B119" s="176" t="s">
        <v>1502</v>
      </c>
      <c r="C119" s="179" t="str">
        <f ca="1">HYPERLINK("#" &amp; CELL("address", Concepts!$E$136), "E140")</f>
        <v>E140</v>
      </c>
      <c r="D119" s="46" t="s">
        <v>1793</v>
      </c>
    </row>
    <row r="120" spans="1:4" x14ac:dyDescent="0.2">
      <c r="A120" s="178">
        <v>44281.608391203707</v>
      </c>
      <c r="B120" s="176" t="s">
        <v>1502</v>
      </c>
      <c r="C120" s="179" t="str">
        <f ca="1">HYPERLINK("#" &amp; CELL("address", Concepts!$C$136), "C140")</f>
        <v>C140</v>
      </c>
      <c r="D120" s="46" t="s">
        <v>1795</v>
      </c>
    </row>
    <row r="121" spans="1:4" x14ac:dyDescent="0.2">
      <c r="A121" s="178">
        <v>44281.617546296293</v>
      </c>
      <c r="B121" s="176" t="s">
        <v>1502</v>
      </c>
      <c r="C121" s="179" t="str">
        <f ca="1">HYPERLINK("#" &amp; CELL("address", Concepts!$F$201), "F204")</f>
        <v>F204</v>
      </c>
      <c r="D121" s="46" t="s">
        <v>1797</v>
      </c>
    </row>
    <row r="122" spans="1:4" x14ac:dyDescent="0.2">
      <c r="A122" s="178">
        <v>44281.618611111109</v>
      </c>
      <c r="B122" s="176" t="s">
        <v>1502</v>
      </c>
      <c r="C122" s="179" t="str">
        <f ca="1">HYPERLINK("#" &amp; CELL("address", Concepts!$F$208), "F211")</f>
        <v>F211</v>
      </c>
      <c r="D122" s="46" t="s">
        <v>1798</v>
      </c>
    </row>
    <row r="123" spans="1:4" x14ac:dyDescent="0.2">
      <c r="A123" s="178">
        <v>44281.619953703703</v>
      </c>
      <c r="B123" s="176" t="s">
        <v>1502</v>
      </c>
      <c r="C123" s="179" t="str">
        <f ca="1">HYPERLINK("#" &amp; CELL("address", Concepts!$A$21), "A24")</f>
        <v>A24</v>
      </c>
      <c r="D123" s="46" t="s">
        <v>1800</v>
      </c>
    </row>
    <row r="124" spans="1:4" x14ac:dyDescent="0.2">
      <c r="A124" s="178">
        <v>44281.620520833334</v>
      </c>
      <c r="B124" s="176" t="s">
        <v>1502</v>
      </c>
      <c r="C124" s="179" t="str">
        <f ca="1">HYPERLINK("#" &amp; CELL("address", Concepts!$F$106), "F112")</f>
        <v>F112</v>
      </c>
      <c r="D124" s="46" t="s">
        <v>1801</v>
      </c>
    </row>
    <row r="125" spans="1:4" x14ac:dyDescent="0.2">
      <c r="A125" s="178">
        <v>44281.623252314814</v>
      </c>
      <c r="B125" s="176" t="s">
        <v>1502</v>
      </c>
      <c r="C125" s="179" t="str">
        <f ca="1">HYPERLINK("#" &amp; CELL("address", Concepts!$A$22), "A25")</f>
        <v>A25</v>
      </c>
      <c r="D125" s="46" t="s">
        <v>1803</v>
      </c>
    </row>
    <row r="126" spans="1:4" x14ac:dyDescent="0.2">
      <c r="A126" s="178">
        <v>44281.635000000002</v>
      </c>
      <c r="B126" s="176" t="s">
        <v>1502</v>
      </c>
      <c r="C126" s="179" t="str">
        <f ca="1">HYPERLINK("#" &amp; CELL("address", Concepts!$C$66), "C68")</f>
        <v>C68</v>
      </c>
      <c r="D126" s="46" t="s">
        <v>1805</v>
      </c>
    </row>
    <row r="127" spans="1:4" x14ac:dyDescent="0.2">
      <c r="A127" s="178">
        <v>44281.638009259259</v>
      </c>
      <c r="B127" s="176" t="s">
        <v>1472</v>
      </c>
      <c r="C127" s="179" t="str">
        <f ca="1">HYPERLINK("#" &amp; CELL("address", 'V1.230'!$A$16), "A16")</f>
        <v>A16</v>
      </c>
      <c r="D127" s="46" t="s">
        <v>1752</v>
      </c>
    </row>
    <row r="128" spans="1:4" x14ac:dyDescent="0.2">
      <c r="A128" s="178">
        <v>44281.645520833335</v>
      </c>
      <c r="B128" s="176" t="s">
        <v>1502</v>
      </c>
      <c r="C128" s="179" t="str">
        <f ca="1">HYPERLINK("#" &amp; CELL("address", Concepts!$A$138), "A145")</f>
        <v>A145</v>
      </c>
      <c r="D128" s="46" t="s">
        <v>1807</v>
      </c>
    </row>
    <row r="129" spans="1:4" x14ac:dyDescent="0.2">
      <c r="A129" s="178">
        <v>44281.646307870367</v>
      </c>
      <c r="B129" s="176" t="s">
        <v>1502</v>
      </c>
      <c r="C129" s="179" t="str">
        <f ca="1">HYPERLINK("#" &amp; CELL("address", Concepts!$C$138), "C145")</f>
        <v>C145</v>
      </c>
      <c r="D129" s="46" t="s">
        <v>1810</v>
      </c>
    </row>
    <row r="130" spans="1:4" x14ac:dyDescent="0.2">
      <c r="A130" s="178">
        <v>44281.647627314815</v>
      </c>
      <c r="B130" s="176" t="s">
        <v>1536</v>
      </c>
      <c r="C130" s="179" t="str">
        <f ca="1">HYPERLINK("#" &amp; CELL("address", 'V1.60+V1.60-F'!$C$5), "C5")</f>
        <v>C5</v>
      </c>
      <c r="D130" s="46" t="s">
        <v>1812</v>
      </c>
    </row>
    <row r="131" spans="1:4" x14ac:dyDescent="0.2">
      <c r="A131" s="178">
        <v>44281.648657407408</v>
      </c>
      <c r="B131" s="176" t="s">
        <v>1536</v>
      </c>
      <c r="C131" s="179" t="str">
        <f ca="1">HYPERLINK("#" &amp; CELL("address", 'V1.60+V1.60-F'!$A$2), "A2")</f>
        <v>A2</v>
      </c>
      <c r="D131" s="46" t="s">
        <v>1812</v>
      </c>
    </row>
    <row r="132" spans="1:4" x14ac:dyDescent="0.2">
      <c r="A132" s="178">
        <v>44281.648761574077</v>
      </c>
      <c r="B132" s="176" t="s">
        <v>1536</v>
      </c>
      <c r="C132" s="179" t="str">
        <f ca="1">HYPERLINK("#" &amp; CELL("address", 'V1.60+V1.60-F'!$A$23), "A23")</f>
        <v>A23</v>
      </c>
      <c r="D132" s="46" t="s">
        <v>1812</v>
      </c>
    </row>
    <row r="133" spans="1:4" x14ac:dyDescent="0.2">
      <c r="A133" s="178">
        <v>44281.648981481485</v>
      </c>
      <c r="B133" s="176" t="s">
        <v>478</v>
      </c>
      <c r="C133" s="179" t="str">
        <f ca="1">HYPERLINK("#" &amp; CELL("address", INDEX!$C$20), "C20")</f>
        <v>C20</v>
      </c>
      <c r="D133" s="46" t="s">
        <v>1812</v>
      </c>
    </row>
    <row r="134" spans="1:4" x14ac:dyDescent="0.2">
      <c r="A134" s="178">
        <v>44281.648981481485</v>
      </c>
      <c r="B134" s="176" t="s">
        <v>478</v>
      </c>
      <c r="C134" s="179" t="str">
        <f ca="1">HYPERLINK("#" &amp; CELL("address", INDEX!$C$21), "C21")</f>
        <v>C21</v>
      </c>
      <c r="D134" s="46" t="s">
        <v>1812</v>
      </c>
    </row>
    <row r="135" spans="1:4" x14ac:dyDescent="0.2">
      <c r="A135" s="178">
        <v>44281.649363425924</v>
      </c>
      <c r="B135" s="176" t="s">
        <v>1739</v>
      </c>
      <c r="C135" s="179" t="str">
        <f ca="1">HYPERLINK("#" &amp; CELL("address", Correspondence!$E$33), "E32")</f>
        <v>E32</v>
      </c>
      <c r="D135" s="46" t="s">
        <v>1812</v>
      </c>
    </row>
    <row r="136" spans="1:4" x14ac:dyDescent="0.2">
      <c r="A136" s="178">
        <v>44281.649363425924</v>
      </c>
      <c r="B136" s="176" t="s">
        <v>1739</v>
      </c>
      <c r="C136" s="179" t="str">
        <f ca="1">HYPERLINK("#" &amp; CELL("address", Correspondence!$E$34), "E33")</f>
        <v>E33</v>
      </c>
      <c r="D136" s="46" t="s">
        <v>1812</v>
      </c>
    </row>
    <row r="137" spans="1:4" x14ac:dyDescent="0.2">
      <c r="A137" s="178">
        <v>44281.649363425924</v>
      </c>
      <c r="B137" s="176" t="s">
        <v>1739</v>
      </c>
      <c r="C137" s="179" t="str">
        <f ca="1">HYPERLINK("#" &amp; CELL("address", Correspondence!$E$35), "E34")</f>
        <v>E34</v>
      </c>
      <c r="D137" s="46" t="s">
        <v>1812</v>
      </c>
    </row>
    <row r="138" spans="1:4" x14ac:dyDescent="0.2">
      <c r="A138" s="178">
        <v>44281.654872685183</v>
      </c>
      <c r="B138" s="176" t="s">
        <v>1536</v>
      </c>
      <c r="C138" s="179" t="str">
        <f ca="1">HYPERLINK("#" &amp; CELL("address", 'V1.60+V1.60-F'!$D$5), "D5")</f>
        <v>D5</v>
      </c>
      <c r="D138" s="46" t="s">
        <v>1815</v>
      </c>
    </row>
    <row r="139" spans="1:4" x14ac:dyDescent="0.2">
      <c r="A139" s="178">
        <v>44281.655543981484</v>
      </c>
      <c r="B139" s="176" t="s">
        <v>1464</v>
      </c>
      <c r="C139" s="179" t="str">
        <f ca="1">HYPERLINK("#" &amp; CELL("address", 'V1.100'!$C$8), "C8")</f>
        <v>C8</v>
      </c>
      <c r="D139" s="46" t="s">
        <v>1816</v>
      </c>
    </row>
    <row r="140" spans="1:4" ht="28.5" x14ac:dyDescent="0.2">
      <c r="A140" s="178">
        <v>44281.657118055555</v>
      </c>
      <c r="B140" s="176" t="s">
        <v>1502</v>
      </c>
      <c r="C140" s="179" t="str">
        <f ca="1">HYPERLINK("#" &amp; CELL("address", Concepts!$A$139), "A146")</f>
        <v>A146</v>
      </c>
      <c r="D140" s="46" t="s">
        <v>1817</v>
      </c>
    </row>
    <row r="141" spans="1:4" x14ac:dyDescent="0.2">
      <c r="A141" s="178">
        <v>44281.658622685187</v>
      </c>
      <c r="B141" s="176" t="s">
        <v>1502</v>
      </c>
      <c r="C141" s="179" t="str">
        <f ca="1">HYPERLINK("#" &amp; CELL("address", Concepts!$C$140), "C147")</f>
        <v>C147</v>
      </c>
      <c r="D141" s="46" t="s">
        <v>1819</v>
      </c>
    </row>
    <row r="142" spans="1:4" x14ac:dyDescent="0.2">
      <c r="A142" s="178">
        <v>44285.563726851855</v>
      </c>
      <c r="B142" s="176" t="s">
        <v>1534</v>
      </c>
      <c r="C142" s="179" t="str">
        <f ca="1">HYPERLINK("#" &amp; CELL("address", 'V1.50+V1.50-F'!$A$43), "A43")</f>
        <v>A43</v>
      </c>
      <c r="D142" s="46" t="s">
        <v>1821</v>
      </c>
    </row>
    <row r="143" spans="1:4" x14ac:dyDescent="0.2">
      <c r="A143" s="178">
        <v>44286.495578703703</v>
      </c>
      <c r="B143" s="176" t="s">
        <v>1462</v>
      </c>
      <c r="C143" s="179" t="str">
        <f ca="1">HYPERLINK("#" &amp; CELL("address", 'V1.90'!$A$16), "A16")</f>
        <v>A16</v>
      </c>
      <c r="D143" s="46" t="s">
        <v>1823</v>
      </c>
    </row>
    <row r="144" spans="1:4" x14ac:dyDescent="0.2">
      <c r="A144" s="178">
        <v>44286.502465277779</v>
      </c>
      <c r="B144" s="176" t="s">
        <v>1537</v>
      </c>
      <c r="C144" s="179" t="str">
        <f ca="1">HYPERLINK("#" &amp; CELL("address", 'V1.91+V1.91-F'!$A$42), "A39")</f>
        <v>A39</v>
      </c>
      <c r="D144" s="46" t="s">
        <v>1826</v>
      </c>
    </row>
    <row r="145" spans="1:4" x14ac:dyDescent="0.2">
      <c r="A145" s="178">
        <v>44286.50582175926</v>
      </c>
      <c r="B145" s="176" t="s">
        <v>1464</v>
      </c>
      <c r="C145" s="179" t="str">
        <f ca="1">HYPERLINK("#" &amp; CELL("address", 'V1.100'!$A$23), "A23")</f>
        <v>A23</v>
      </c>
      <c r="D145" s="46" t="s">
        <v>1829</v>
      </c>
    </row>
    <row r="146" spans="1:4" x14ac:dyDescent="0.2">
      <c r="A146" s="178">
        <v>44286.508240740739</v>
      </c>
      <c r="B146" s="176" t="s">
        <v>1538</v>
      </c>
      <c r="C146" s="179" t="str">
        <f ca="1">HYPERLINK("#" &amp; CELL("address", 'V1.110+V1.110-F'!$A$38), "A38")</f>
        <v>A38</v>
      </c>
      <c r="D146" s="46" t="s">
        <v>1832</v>
      </c>
    </row>
    <row r="147" spans="1:4" x14ac:dyDescent="0.2">
      <c r="A147" s="178">
        <v>44286.509664351855</v>
      </c>
      <c r="B147" s="176" t="s">
        <v>1471</v>
      </c>
      <c r="C147" s="179" t="str">
        <f ca="1">HYPERLINK("#" &amp; CELL("address", 'V1.222'!$A$31), "A29")</f>
        <v>A29</v>
      </c>
      <c r="D147" s="46" t="s">
        <v>1835</v>
      </c>
    </row>
    <row r="148" spans="1:4" x14ac:dyDescent="0.2">
      <c r="A148" s="178">
        <v>44286.510891203703</v>
      </c>
      <c r="B148" s="176" t="s">
        <v>1539</v>
      </c>
      <c r="C148" s="179" t="str">
        <f ca="1">HYPERLINK("#" &amp; CELL("address", 'V1.300-F'!$A$21), "A19")</f>
        <v>A19</v>
      </c>
      <c r="D148" s="46" t="s">
        <v>1836</v>
      </c>
    </row>
    <row r="149" spans="1:4" x14ac:dyDescent="0.2">
      <c r="A149" s="178">
        <v>44286.65116898148</v>
      </c>
      <c r="B149" s="176" t="s">
        <v>478</v>
      </c>
      <c r="C149" s="179" t="str">
        <f ca="1">HYPERLINK("#" &amp; CELL("address", INDEX!$A$47), "A47")</f>
        <v>A47</v>
      </c>
      <c r="D149" s="46" t="s">
        <v>1837</v>
      </c>
    </row>
    <row r="150" spans="1:4" x14ac:dyDescent="0.2">
      <c r="A150" s="178">
        <v>44286.681921296295</v>
      </c>
      <c r="B150" s="176" t="s">
        <v>483</v>
      </c>
      <c r="C150" s="179" t="str">
        <f ca="1">HYPERLINK("#" &amp; CELL("address", Introduction!$B$3), "A3")</f>
        <v>A3</v>
      </c>
      <c r="D150" s="46" t="s">
        <v>1839</v>
      </c>
    </row>
    <row r="151" spans="1:4" ht="28.5" x14ac:dyDescent="0.2">
      <c r="A151" s="178">
        <v>44287.650671296295</v>
      </c>
      <c r="B151" s="176" t="s">
        <v>1534</v>
      </c>
      <c r="C151" s="179" t="str">
        <f ca="1">HYPERLINK("#" &amp; CELL("address", 'V1.50+V1.50-F'!$O$24), "O24")</f>
        <v>O24</v>
      </c>
      <c r="D151" s="46" t="s">
        <v>1840</v>
      </c>
    </row>
    <row r="152" spans="1:4" ht="28.5" x14ac:dyDescent="0.2">
      <c r="A152" s="178">
        <v>44287.650891203702</v>
      </c>
      <c r="B152" s="176" t="s">
        <v>1535</v>
      </c>
      <c r="C152" s="179" t="str">
        <f ca="1">HYPERLINK("#" &amp; CELL("address", 'V1.52+V1.52-F'!$O$24), "O24")</f>
        <v>O24</v>
      </c>
      <c r="D152" s="46" t="s">
        <v>1840</v>
      </c>
    </row>
    <row r="153" spans="1:4" x14ac:dyDescent="0.2">
      <c r="A153" s="178">
        <v>44287.652777777781</v>
      </c>
      <c r="B153" s="176" t="s">
        <v>1538</v>
      </c>
      <c r="C153" s="179" t="str">
        <f ca="1">HYPERLINK("#" &amp; CELL("address", 'V1.110+V1.110-F'!$A$2), "A2")</f>
        <v>A2</v>
      </c>
      <c r="D153" s="46" t="s">
        <v>1841</v>
      </c>
    </row>
    <row r="154" spans="1:4" x14ac:dyDescent="0.2">
      <c r="A154" s="178">
        <v>44287.652997685182</v>
      </c>
      <c r="B154" s="176" t="s">
        <v>1538</v>
      </c>
      <c r="C154" s="179" t="str">
        <f ca="1">HYPERLINK("#" &amp; CELL("address", 'V1.110+V1.110-F'!$A$31), "A31")</f>
        <v>A31</v>
      </c>
      <c r="D154" s="46" t="s">
        <v>1842</v>
      </c>
    </row>
    <row r="155" spans="1:4" x14ac:dyDescent="0.2">
      <c r="A155" s="178">
        <v>44287.653819444444</v>
      </c>
      <c r="B155" s="176" t="s">
        <v>1502</v>
      </c>
      <c r="C155" s="179" t="str">
        <f ca="1">HYPERLINK("#" &amp; CELL("address", Concepts!$A$2), "A2")</f>
        <v>A2</v>
      </c>
      <c r="D155" s="46" t="s">
        <v>1843</v>
      </c>
    </row>
    <row r="156" spans="1:4" x14ac:dyDescent="0.2">
      <c r="A156" s="178">
        <v>44287.654386574075</v>
      </c>
      <c r="B156" s="176" t="s">
        <v>1502</v>
      </c>
      <c r="C156" s="179" t="str">
        <f ca="1">HYPERLINK("#" &amp; CELL("address", Concepts!$B$177), "B183")</f>
        <v>B183</v>
      </c>
      <c r="D156" s="46" t="s">
        <v>1844</v>
      </c>
    </row>
    <row r="157" spans="1:4" x14ac:dyDescent="0.2">
      <c r="A157" s="178">
        <v>44287.684861111113</v>
      </c>
      <c r="B157" s="176" t="s">
        <v>1458</v>
      </c>
      <c r="C157" s="179" t="str">
        <f ca="1">HYPERLINK("#" &amp; CELL("address", 'V1.41'!$A$28), "A25")</f>
        <v>A25</v>
      </c>
      <c r="D157" s="46" t="s">
        <v>1845</v>
      </c>
    </row>
    <row r="158" spans="1:4" x14ac:dyDescent="0.2">
      <c r="A158" s="178">
        <v>44287.687314814815</v>
      </c>
      <c r="B158" s="176" t="s">
        <v>1533</v>
      </c>
      <c r="C158" s="179" t="str">
        <f ca="1">HYPERLINK("#" &amp; CELL("address", 'V1.20+V1.20-F'!$A$39), "A40")</f>
        <v>A40</v>
      </c>
      <c r="D158" s="46" t="s">
        <v>1847</v>
      </c>
    </row>
    <row r="159" spans="1:4" x14ac:dyDescent="0.2">
      <c r="A159" s="178">
        <v>44287.691747685189</v>
      </c>
      <c r="B159" s="176" t="s">
        <v>1533</v>
      </c>
      <c r="C159" s="179" t="str">
        <f ca="1">HYPERLINK("#" &amp; CELL("address", 'V1.20+V1.20-F'!$A$78), "A81")</f>
        <v>A81</v>
      </c>
      <c r="D159" s="46" t="s">
        <v>1848</v>
      </c>
    </row>
    <row r="160" spans="1:4" x14ac:dyDescent="0.2">
      <c r="A160" s="178">
        <v>44294.511597222219</v>
      </c>
      <c r="B160" s="176" t="s">
        <v>1533</v>
      </c>
      <c r="C160" s="179" t="str">
        <f ca="1">HYPERLINK("#" &amp; CELL("address", 'V1.20+V1.20-F'!$G$13), "G15")</f>
        <v>G15</v>
      </c>
      <c r="D160" s="46" t="s">
        <v>1849</v>
      </c>
    </row>
    <row r="161" spans="1:4" x14ac:dyDescent="0.2">
      <c r="A161" s="178">
        <v>44294.513124999998</v>
      </c>
      <c r="B161" s="176" t="s">
        <v>1533</v>
      </c>
      <c r="C161" s="179" t="str">
        <f ca="1">HYPERLINK("#" &amp; CELL("address", 'V1.20+V1.20-F'!$G$3), "G3")</f>
        <v>G3</v>
      </c>
      <c r="D161" s="46" t="s">
        <v>1850</v>
      </c>
    </row>
    <row r="162" spans="1:4" ht="28.5" x14ac:dyDescent="0.2">
      <c r="A162" s="178">
        <v>44299.450601851851</v>
      </c>
      <c r="B162" s="176" t="s">
        <v>1535</v>
      </c>
      <c r="C162" s="179" t="str">
        <f ca="1">HYPERLINK("#" &amp; CELL("address", 'V1.52+V1.52-F'!$G$3), "G3")</f>
        <v>G3</v>
      </c>
      <c r="D162" s="46" t="s">
        <v>1857</v>
      </c>
    </row>
    <row r="163" spans="1:4" ht="28.5" x14ac:dyDescent="0.2">
      <c r="A163" s="178">
        <v>44299.450868055559</v>
      </c>
      <c r="B163" s="176" t="s">
        <v>1535</v>
      </c>
      <c r="C163" s="179" t="str">
        <f ca="1">HYPERLINK("#" &amp; CELL("address", 'V1.52+V1.52-F'!$G$8), "G8")</f>
        <v>G8</v>
      </c>
      <c r="D163" s="46" t="s">
        <v>1858</v>
      </c>
    </row>
    <row r="164" spans="1:4" x14ac:dyDescent="0.2">
      <c r="A164" s="178">
        <v>44299.451064814813</v>
      </c>
      <c r="B164" s="176" t="s">
        <v>1535</v>
      </c>
      <c r="C164" s="179" t="str">
        <f ca="1">HYPERLINK("#" &amp; CELL("address", 'V1.52+V1.52-F'!$G$13), "G13")</f>
        <v>G13</v>
      </c>
      <c r="D164" s="46" t="s">
        <v>1859</v>
      </c>
    </row>
    <row r="165" spans="1:4" x14ac:dyDescent="0.2">
      <c r="A165" s="178">
        <v>44299.451261574075</v>
      </c>
      <c r="B165" s="176" t="s">
        <v>1535</v>
      </c>
      <c r="C165" s="179" t="str">
        <f ca="1">HYPERLINK("#" &amp; CELL("address", 'V1.52+V1.52-F'!$G$24), "G24")</f>
        <v>G24</v>
      </c>
      <c r="D165" s="46" t="s">
        <v>1860</v>
      </c>
    </row>
    <row r="166" spans="1:4" x14ac:dyDescent="0.2">
      <c r="A166" s="178">
        <v>44299.45140046296</v>
      </c>
      <c r="B166" s="176" t="s">
        <v>1535</v>
      </c>
      <c r="C166" s="179" t="str">
        <f ca="1">HYPERLINK("#" &amp; CELL("address", 'V1.52+V1.52-F'!$G$24), "G24")</f>
        <v>G24</v>
      </c>
      <c r="D166" s="46" t="s">
        <v>1861</v>
      </c>
    </row>
    <row r="167" spans="1:4" ht="28.5" x14ac:dyDescent="0.2">
      <c r="A167" s="178">
        <v>44299.453796296293</v>
      </c>
      <c r="B167" s="176" t="s">
        <v>1534</v>
      </c>
      <c r="C167" s="179" t="str">
        <f ca="1">HYPERLINK("#" &amp; CELL("address", 'V1.50+V1.50-F'!$G$3), "G3")</f>
        <v>G3</v>
      </c>
      <c r="D167" s="46" t="s">
        <v>1857</v>
      </c>
    </row>
    <row r="168" spans="1:4" x14ac:dyDescent="0.2">
      <c r="A168" s="178">
        <v>44299.454340277778</v>
      </c>
      <c r="B168" s="176" t="s">
        <v>1534</v>
      </c>
      <c r="C168" s="179" t="str">
        <f ca="1">HYPERLINK("#" &amp; CELL("address", 'V1.50+V1.50-F'!$G$13), "G13")</f>
        <v>G13</v>
      </c>
      <c r="D168" s="46" t="s">
        <v>1859</v>
      </c>
    </row>
    <row r="169" spans="1:4" x14ac:dyDescent="0.2">
      <c r="A169" s="178">
        <v>44299.454548611109</v>
      </c>
      <c r="B169" s="176" t="s">
        <v>1534</v>
      </c>
      <c r="C169" s="179" t="str">
        <f ca="1">HYPERLINK("#" &amp; CELL("address", 'V1.50+V1.50-F'!$G$24), "G24")</f>
        <v>G24</v>
      </c>
      <c r="D169" s="46" t="s">
        <v>1862</v>
      </c>
    </row>
    <row r="170" spans="1:4" x14ac:dyDescent="0.2">
      <c r="A170" s="178">
        <v>44299.454710648148</v>
      </c>
      <c r="B170" s="176" t="s">
        <v>1534</v>
      </c>
      <c r="C170" s="179" t="str">
        <f ca="1">HYPERLINK("#" &amp; CELL("address", 'V1.50+V1.50-F'!$G$24), "G24")</f>
        <v>G24</v>
      </c>
      <c r="D170" s="46" t="s">
        <v>1863</v>
      </c>
    </row>
    <row r="171" spans="1:4" x14ac:dyDescent="0.2">
      <c r="A171" s="178">
        <v>44299.457986111112</v>
      </c>
      <c r="B171" s="176" t="s">
        <v>1502</v>
      </c>
      <c r="C171" s="179" t="str">
        <f ca="1">HYPERLINK("#" &amp; CELL("address", Concepts!$D$38), "D41")</f>
        <v>D41</v>
      </c>
      <c r="D171" s="46" t="s">
        <v>1865</v>
      </c>
    </row>
    <row r="172" spans="1:4" x14ac:dyDescent="0.2">
      <c r="A172" s="178">
        <v>44299.458229166667</v>
      </c>
      <c r="B172" s="176" t="s">
        <v>1502</v>
      </c>
      <c r="C172" s="179" t="str">
        <f ca="1">HYPERLINK("#" &amp; CELL("address", Concepts!$A$40), "A43")</f>
        <v>A43</v>
      </c>
      <c r="D172" s="46" t="s">
        <v>1866</v>
      </c>
    </row>
    <row r="173" spans="1:4" x14ac:dyDescent="0.2">
      <c r="A173" s="178">
        <v>44300.677199074074</v>
      </c>
      <c r="B173" s="176" t="s">
        <v>1458</v>
      </c>
      <c r="C173" s="179" t="str">
        <f ca="1">HYPERLINK("#" &amp; CELL("address", 'V1.41'!$A$23), "A23")</f>
        <v>A23</v>
      </c>
      <c r="D173" s="46" t="s">
        <v>1752</v>
      </c>
    </row>
    <row r="174" spans="1:4" x14ac:dyDescent="0.2">
      <c r="A174" s="178">
        <v>44300.677777777775</v>
      </c>
      <c r="B174" s="176" t="s">
        <v>1459</v>
      </c>
      <c r="C174" s="179" t="str">
        <f ca="1">HYPERLINK("#" &amp; CELL("address", 'V1.42'!$A$21), "A21")</f>
        <v>A21</v>
      </c>
      <c r="D174" s="46" t="s">
        <v>1890</v>
      </c>
    </row>
    <row r="175" spans="1:4" x14ac:dyDescent="0.2">
      <c r="A175" s="178">
        <v>44300.678449074076</v>
      </c>
      <c r="B175" s="176" t="s">
        <v>1536</v>
      </c>
      <c r="C175" s="179" t="str">
        <f ca="1">HYPERLINK("#" &amp; CELL("address", 'V1.60+V1.60-F'!$A$23), "A23")</f>
        <v>A23</v>
      </c>
      <c r="D175" s="46" t="s">
        <v>1891</v>
      </c>
    </row>
    <row r="176" spans="1:4" x14ac:dyDescent="0.2">
      <c r="A176" s="178">
        <v>44300.678599537037</v>
      </c>
      <c r="B176" s="176" t="s">
        <v>478</v>
      </c>
      <c r="C176" s="179" t="str">
        <f ca="1">HYPERLINK("#" &amp; CELL("address", INDEX!$C$21), "C21")</f>
        <v>C21</v>
      </c>
      <c r="D176" s="46" t="s">
        <v>1891</v>
      </c>
    </row>
    <row r="177" spans="1:4" x14ac:dyDescent="0.2">
      <c r="A177" s="178">
        <v>44300.678738425922</v>
      </c>
      <c r="B177" s="176" t="s">
        <v>1739</v>
      </c>
      <c r="C177" s="179" t="str">
        <f ca="1">HYPERLINK("#" &amp; CELL("address", Correspondence!$E$34), "E33")</f>
        <v>E33</v>
      </c>
      <c r="D177" s="46" t="s">
        <v>1891</v>
      </c>
    </row>
    <row r="178" spans="1:4" x14ac:dyDescent="0.2">
      <c r="A178" s="178">
        <v>44300.679201388892</v>
      </c>
      <c r="B178" s="176" t="s">
        <v>1739</v>
      </c>
      <c r="C178" s="179" t="str">
        <f ca="1">HYPERLINK("#" &amp; CELL("address", Correspondence!$A$1), "A1")</f>
        <v>A1</v>
      </c>
      <c r="D178" s="46" t="s">
        <v>1892</v>
      </c>
    </row>
    <row r="179" spans="1:4" x14ac:dyDescent="0.2">
      <c r="A179" s="178">
        <v>44300.68005787037</v>
      </c>
      <c r="B179" s="176" t="s">
        <v>1536</v>
      </c>
      <c r="C179" s="179" t="str">
        <f ca="1">HYPERLINK("#" &amp; CELL("address", 'V1.60+V1.60-F'!$G$25), "G25")</f>
        <v>G25</v>
      </c>
      <c r="D179" s="46" t="s">
        <v>1893</v>
      </c>
    </row>
    <row r="180" spans="1:4" x14ac:dyDescent="0.2">
      <c r="A180" s="178">
        <v>44300.684004629627</v>
      </c>
      <c r="B180" s="176" t="s">
        <v>1502</v>
      </c>
      <c r="C180" s="179" t="str">
        <f ca="1">HYPERLINK("#" &amp; CELL("address", Concepts!$C$17), "C13")</f>
        <v>C13</v>
      </c>
      <c r="D180" s="46" t="s">
        <v>1894</v>
      </c>
    </row>
    <row r="181" spans="1:4" ht="28.5" x14ac:dyDescent="0.2">
      <c r="A181" s="178">
        <v>44301.421307870369</v>
      </c>
      <c r="B181" s="176" t="s">
        <v>1502</v>
      </c>
      <c r="C181" s="179" t="str">
        <f ca="1">HYPERLINK("#" &amp; CELL("address", Concepts!$A$1), "A1")</f>
        <v>A1</v>
      </c>
      <c r="D181" s="46" t="s">
        <v>1895</v>
      </c>
    </row>
    <row r="182" spans="1:4" ht="28.5" x14ac:dyDescent="0.2">
      <c r="A182" s="178">
        <v>44301.424050925925</v>
      </c>
      <c r="B182" s="176" t="s">
        <v>1533</v>
      </c>
      <c r="C182" s="179" t="str">
        <f ca="1">HYPERLINK("#" &amp; CELL("address", 'V1.20+V1.20-F'!$C$5), "C5")</f>
        <v>C5</v>
      </c>
      <c r="D182" s="46" t="s">
        <v>1902</v>
      </c>
    </row>
    <row r="183" spans="1:4" ht="28.5" x14ac:dyDescent="0.2">
      <c r="A183" s="178">
        <v>44301.424062500002</v>
      </c>
      <c r="B183" s="176" t="s">
        <v>1533</v>
      </c>
      <c r="C183" s="179" t="str">
        <f ca="1">HYPERLINK("#" &amp; CELL("address", 'V1.20+V1.20-F'!$C$6), "C6")</f>
        <v>C6</v>
      </c>
      <c r="D183" s="46" t="s">
        <v>1902</v>
      </c>
    </row>
    <row r="184" spans="1:4" ht="28.5" x14ac:dyDescent="0.2">
      <c r="A184" s="178">
        <v>44301.424062500002</v>
      </c>
      <c r="B184" s="176" t="s">
        <v>1533</v>
      </c>
      <c r="C184" s="179" t="str">
        <f ca="1">HYPERLINK("#" &amp; CELL("address", 'V1.20+V1.20-F'!$C$7), "C7")</f>
        <v>C7</v>
      </c>
      <c r="D184" s="46" t="s">
        <v>1902</v>
      </c>
    </row>
    <row r="185" spans="1:4" ht="28.5" x14ac:dyDescent="0.2">
      <c r="A185" s="178">
        <v>44301.424062500002</v>
      </c>
      <c r="B185" s="176" t="s">
        <v>1533</v>
      </c>
      <c r="C185" s="179" t="str">
        <f ca="1">HYPERLINK("#" &amp; CELL("address", 'V1.20+V1.20-F'!$C$8), "C8")</f>
        <v>C8</v>
      </c>
      <c r="D185" s="46" t="s">
        <v>1902</v>
      </c>
    </row>
    <row r="186" spans="1:4" ht="28.5" x14ac:dyDescent="0.2">
      <c r="A186" s="178">
        <v>44301.424062500002</v>
      </c>
      <c r="B186" s="176" t="s">
        <v>1533</v>
      </c>
      <c r="C186" s="179" t="str">
        <f ca="1">HYPERLINK("#" &amp; CELL("address", 'V1.20+V1.20-F'!$C$9), "C9")</f>
        <v>C9</v>
      </c>
      <c r="D186" s="46" t="s">
        <v>1902</v>
      </c>
    </row>
    <row r="187" spans="1:4" ht="28.5" x14ac:dyDescent="0.2">
      <c r="A187" s="178">
        <v>44301.424062500002</v>
      </c>
      <c r="B187" s="176" t="s">
        <v>1533</v>
      </c>
      <c r="C187" s="179" t="str">
        <f ca="1">HYPERLINK("#" &amp; CELL("address", 'V1.20+V1.20-F'!$C$11), "C11")</f>
        <v>C11</v>
      </c>
      <c r="D187" s="46" t="s">
        <v>1902</v>
      </c>
    </row>
    <row r="188" spans="1:4" ht="28.5" x14ac:dyDescent="0.2">
      <c r="A188" s="178">
        <v>44301.424062500002</v>
      </c>
      <c r="B188" s="176" t="s">
        <v>1533</v>
      </c>
      <c r="C188" s="179" t="str">
        <f ca="1">HYPERLINK("#" &amp; CELL("address", 'V1.20+V1.20-F'!$C$12), "C12")</f>
        <v>C12</v>
      </c>
      <c r="D188" s="46" t="s">
        <v>1902</v>
      </c>
    </row>
    <row r="189" spans="1:4" ht="28.5" x14ac:dyDescent="0.2">
      <c r="A189" s="178">
        <v>44301.425092592595</v>
      </c>
      <c r="B189" s="176" t="s">
        <v>1096</v>
      </c>
      <c r="C189" s="179" t="str">
        <f ca="1">HYPERLINK("#" &amp; CELL("address", 'V1.21'!$C$5), "C5")</f>
        <v>C5</v>
      </c>
      <c r="D189" s="46" t="s">
        <v>1902</v>
      </c>
    </row>
    <row r="190" spans="1:4" ht="28.5" x14ac:dyDescent="0.2">
      <c r="A190" s="178">
        <v>44301.425092592595</v>
      </c>
      <c r="B190" s="176" t="s">
        <v>1096</v>
      </c>
      <c r="C190" s="179" t="str">
        <f ca="1">HYPERLINK("#" &amp; CELL("address", 'V1.21'!$C$6), "C6")</f>
        <v>C6</v>
      </c>
      <c r="D190" s="46" t="s">
        <v>1902</v>
      </c>
    </row>
    <row r="191" spans="1:4" ht="28.5" x14ac:dyDescent="0.2">
      <c r="A191" s="178">
        <v>44301.425092592595</v>
      </c>
      <c r="B191" s="176" t="s">
        <v>1096</v>
      </c>
      <c r="C191" s="179" t="str">
        <f ca="1">HYPERLINK("#" &amp; CELL("address", 'V1.21'!$C$7), "C7")</f>
        <v>C7</v>
      </c>
      <c r="D191" s="46" t="s">
        <v>1902</v>
      </c>
    </row>
    <row r="192" spans="1:4" ht="28.5" x14ac:dyDescent="0.2">
      <c r="A192" s="178">
        <v>44301.425092592595</v>
      </c>
      <c r="B192" s="176" t="s">
        <v>1096</v>
      </c>
      <c r="C192" s="179" t="str">
        <f ca="1">HYPERLINK("#" &amp; CELL("address", 'V1.21'!$C$8), "C8")</f>
        <v>C8</v>
      </c>
      <c r="D192" s="46" t="s">
        <v>1902</v>
      </c>
    </row>
    <row r="193" spans="1:4" ht="28.5" x14ac:dyDescent="0.2">
      <c r="A193" s="178">
        <v>44301.425092592595</v>
      </c>
      <c r="B193" s="176" t="s">
        <v>1096</v>
      </c>
      <c r="C193" s="179" t="str">
        <f ca="1">HYPERLINK("#" &amp; CELL("address", 'V1.21'!$C$9), "C9")</f>
        <v>C9</v>
      </c>
      <c r="D193" s="46" t="s">
        <v>1902</v>
      </c>
    </row>
    <row r="194" spans="1:4" ht="28.5" x14ac:dyDescent="0.2">
      <c r="A194" s="178">
        <v>44301.425092592595</v>
      </c>
      <c r="B194" s="176" t="s">
        <v>1096</v>
      </c>
      <c r="C194" s="179" t="str">
        <f ca="1">HYPERLINK("#" &amp; CELL("address", 'V1.21'!$C$11), "C11")</f>
        <v>C11</v>
      </c>
      <c r="D194" s="46" t="s">
        <v>1902</v>
      </c>
    </row>
    <row r="195" spans="1:4" ht="28.5" x14ac:dyDescent="0.2">
      <c r="A195" s="178">
        <v>44301.425092592595</v>
      </c>
      <c r="B195" s="176" t="s">
        <v>1096</v>
      </c>
      <c r="C195" s="179" t="str">
        <f ca="1">HYPERLINK("#" &amp; CELL("address", 'V1.21'!$C$12), "C12")</f>
        <v>C12</v>
      </c>
      <c r="D195" s="46" t="s">
        <v>1902</v>
      </c>
    </row>
    <row r="196" spans="1:4" ht="28.5" x14ac:dyDescent="0.2">
      <c r="A196" s="178">
        <v>44301.425358796296</v>
      </c>
      <c r="B196" s="176" t="s">
        <v>1771</v>
      </c>
      <c r="C196" s="179" t="str">
        <f ca="1">HYPERLINK("#" &amp; CELL("address", 'V1.30+V1.30-F'!$C$5), "C5")</f>
        <v>C5</v>
      </c>
      <c r="D196" s="46" t="s">
        <v>1902</v>
      </c>
    </row>
    <row r="197" spans="1:4" ht="28.5" x14ac:dyDescent="0.2">
      <c r="A197" s="178">
        <v>44301.425358796296</v>
      </c>
      <c r="B197" s="176" t="s">
        <v>1771</v>
      </c>
      <c r="C197" s="179" t="str">
        <f ca="1">HYPERLINK("#" &amp; CELL("address", 'V1.30+V1.30-F'!$C$6), "C6")</f>
        <v>C6</v>
      </c>
      <c r="D197" s="46" t="s">
        <v>1902</v>
      </c>
    </row>
    <row r="198" spans="1:4" ht="28.5" x14ac:dyDescent="0.2">
      <c r="A198" s="178">
        <v>44301.425358796296</v>
      </c>
      <c r="B198" s="176" t="s">
        <v>1771</v>
      </c>
      <c r="C198" s="179" t="str">
        <f ca="1">HYPERLINK("#" &amp; CELL("address", 'V1.30+V1.30-F'!$C$7), "C7")</f>
        <v>C7</v>
      </c>
      <c r="D198" s="46" t="s">
        <v>1902</v>
      </c>
    </row>
    <row r="199" spans="1:4" ht="28.5" x14ac:dyDescent="0.2">
      <c r="A199" s="178">
        <v>44301.425370370373</v>
      </c>
      <c r="B199" s="176" t="s">
        <v>1771</v>
      </c>
      <c r="C199" s="179" t="str">
        <f ca="1">HYPERLINK("#" &amp; CELL("address", 'V1.30+V1.30-F'!$C$8), "C8")</f>
        <v>C8</v>
      </c>
      <c r="D199" s="46" t="s">
        <v>1902</v>
      </c>
    </row>
    <row r="200" spans="1:4" ht="28.5" x14ac:dyDescent="0.2">
      <c r="A200" s="178">
        <v>44301.425370370373</v>
      </c>
      <c r="B200" s="176" t="s">
        <v>1771</v>
      </c>
      <c r="C200" s="179" t="str">
        <f ca="1">HYPERLINK("#" &amp; CELL("address", 'V1.30+V1.30-F'!$C$9), "C9")</f>
        <v>C9</v>
      </c>
      <c r="D200" s="46" t="s">
        <v>1902</v>
      </c>
    </row>
    <row r="201" spans="1:4" ht="28.5" x14ac:dyDescent="0.2">
      <c r="A201" s="178">
        <v>44301.42559027778</v>
      </c>
      <c r="B201" s="176" t="s">
        <v>1097</v>
      </c>
      <c r="C201" s="179" t="str">
        <f ca="1">HYPERLINK("#" &amp; CELL("address", 'V1.31'!$C$5), "C5")</f>
        <v>C5</v>
      </c>
      <c r="D201" s="46" t="s">
        <v>1902</v>
      </c>
    </row>
    <row r="202" spans="1:4" ht="28.5" x14ac:dyDescent="0.2">
      <c r="A202" s="178">
        <v>44301.42559027778</v>
      </c>
      <c r="B202" s="176" t="s">
        <v>1097</v>
      </c>
      <c r="C202" s="179" t="str">
        <f ca="1">HYPERLINK("#" &amp; CELL("address", 'V1.31'!$C$6), "C6")</f>
        <v>C6</v>
      </c>
      <c r="D202" s="46" t="s">
        <v>1902</v>
      </c>
    </row>
    <row r="203" spans="1:4" ht="28.5" x14ac:dyDescent="0.2">
      <c r="A203" s="178">
        <v>44301.42560185185</v>
      </c>
      <c r="B203" s="176" t="s">
        <v>1097</v>
      </c>
      <c r="C203" s="179" t="str">
        <f ca="1">HYPERLINK("#" &amp; CELL("address", 'V1.31'!$C$7), "C7")</f>
        <v>C7</v>
      </c>
      <c r="D203" s="46" t="s">
        <v>1902</v>
      </c>
    </row>
    <row r="204" spans="1:4" ht="28.5" x14ac:dyDescent="0.2">
      <c r="A204" s="178">
        <v>44301.42560185185</v>
      </c>
      <c r="B204" s="176" t="s">
        <v>1097</v>
      </c>
      <c r="C204" s="179" t="str">
        <f ca="1">HYPERLINK("#" &amp; CELL("address", 'V1.31'!$C$8), "C8")</f>
        <v>C8</v>
      </c>
      <c r="D204" s="46" t="s">
        <v>1902</v>
      </c>
    </row>
    <row r="205" spans="1:4" ht="28.5" x14ac:dyDescent="0.2">
      <c r="A205" s="178">
        <v>44301.42560185185</v>
      </c>
      <c r="B205" s="176" t="s">
        <v>1097</v>
      </c>
      <c r="C205" s="179" t="str">
        <f ca="1">HYPERLINK("#" &amp; CELL("address", 'V1.31'!$C$9), "C9")</f>
        <v>C9</v>
      </c>
      <c r="D205" s="46" t="s">
        <v>1902</v>
      </c>
    </row>
    <row r="206" spans="1:4" ht="28.5" x14ac:dyDescent="0.2">
      <c r="A206" s="178">
        <v>44301.425810185188</v>
      </c>
      <c r="B206" s="176" t="s">
        <v>1457</v>
      </c>
      <c r="C206" s="179" t="str">
        <f ca="1">HYPERLINK("#" &amp; CELL("address", 'V1.40'!$G$5), "G5")</f>
        <v>G5</v>
      </c>
      <c r="D206" s="46" t="s">
        <v>1902</v>
      </c>
    </row>
    <row r="207" spans="1:4" ht="28.5" x14ac:dyDescent="0.2">
      <c r="A207" s="178">
        <v>44301.425810185188</v>
      </c>
      <c r="B207" s="176" t="s">
        <v>1457</v>
      </c>
      <c r="C207" s="179" t="str">
        <f ca="1">HYPERLINK("#" &amp; CELL("address", 'V1.40'!$G$6), "G6")</f>
        <v>G6</v>
      </c>
      <c r="D207" s="46" t="s">
        <v>1902</v>
      </c>
    </row>
    <row r="208" spans="1:4" ht="28.5" x14ac:dyDescent="0.2">
      <c r="A208" s="178">
        <v>44301.425810185188</v>
      </c>
      <c r="B208" s="176" t="s">
        <v>1457</v>
      </c>
      <c r="C208" s="179" t="str">
        <f ca="1">HYPERLINK("#" &amp; CELL("address", 'V1.40'!$G$7), "G7")</f>
        <v>G7</v>
      </c>
      <c r="D208" s="46" t="s">
        <v>1902</v>
      </c>
    </row>
    <row r="209" spans="1:4" ht="28.5" x14ac:dyDescent="0.2">
      <c r="A209" s="178">
        <v>44301.425810185188</v>
      </c>
      <c r="B209" s="176" t="s">
        <v>1457</v>
      </c>
      <c r="C209" s="179" t="str">
        <f ca="1">HYPERLINK("#" &amp; CELL("address", 'V1.40'!$G$8), "G8")</f>
        <v>G8</v>
      </c>
      <c r="D209" s="46" t="s">
        <v>1902</v>
      </c>
    </row>
    <row r="210" spans="1:4" ht="28.5" x14ac:dyDescent="0.2">
      <c r="A210" s="178">
        <v>44301.425810185188</v>
      </c>
      <c r="B210" s="176" t="s">
        <v>1457</v>
      </c>
      <c r="C210" s="179" t="str">
        <f ca="1">HYPERLINK("#" &amp; CELL("address", 'V1.40'!$G$9), "G9")</f>
        <v>G9</v>
      </c>
      <c r="D210" s="46" t="s">
        <v>1902</v>
      </c>
    </row>
    <row r="211" spans="1:4" ht="28.5" x14ac:dyDescent="0.2">
      <c r="A211" s="178">
        <v>44301.425810185188</v>
      </c>
      <c r="B211" s="176" t="s">
        <v>1457</v>
      </c>
      <c r="C211" s="179" t="str">
        <f ca="1">HYPERLINK("#" &amp; CELL("address", 'V1.40'!$G$11), "G11")</f>
        <v>G11</v>
      </c>
      <c r="D211" s="46" t="s">
        <v>1902</v>
      </c>
    </row>
    <row r="212" spans="1:4" ht="28.5" x14ac:dyDescent="0.2">
      <c r="A212" s="178">
        <v>44301.425810185188</v>
      </c>
      <c r="B212" s="176" t="s">
        <v>1457</v>
      </c>
      <c r="C212" s="179" t="str">
        <f ca="1">HYPERLINK("#" &amp; CELL("address", 'V1.40'!$G$12), "G12")</f>
        <v>G12</v>
      </c>
      <c r="D212" s="46" t="s">
        <v>1902</v>
      </c>
    </row>
    <row r="213" spans="1:4" ht="28.5" x14ac:dyDescent="0.2">
      <c r="A213" s="178">
        <v>44301.42597222222</v>
      </c>
      <c r="B213" s="176" t="s">
        <v>1458</v>
      </c>
      <c r="C213" s="179" t="str">
        <f ca="1">HYPERLINK("#" &amp; CELL("address", 'V1.41'!$E$5), "E5")</f>
        <v>E5</v>
      </c>
      <c r="D213" s="46" t="s">
        <v>1902</v>
      </c>
    </row>
    <row r="214" spans="1:4" ht="28.5" x14ac:dyDescent="0.2">
      <c r="A214" s="178">
        <v>44301.42597222222</v>
      </c>
      <c r="B214" s="176" t="s">
        <v>1458</v>
      </c>
      <c r="C214" s="179" t="str">
        <f ca="1">HYPERLINK("#" &amp; CELL("address", 'V1.41'!$E$6), "E6")</f>
        <v>E6</v>
      </c>
      <c r="D214" s="46" t="s">
        <v>1902</v>
      </c>
    </row>
    <row r="215" spans="1:4" ht="28.5" x14ac:dyDescent="0.2">
      <c r="A215" s="178">
        <v>44301.42597222222</v>
      </c>
      <c r="B215" s="176" t="s">
        <v>1458</v>
      </c>
      <c r="C215" s="179" t="str">
        <f ca="1">HYPERLINK("#" &amp; CELL("address", 'V1.41'!$E$7), "E7")</f>
        <v>E7</v>
      </c>
      <c r="D215" s="46" t="s">
        <v>1902</v>
      </c>
    </row>
    <row r="216" spans="1:4" ht="28.5" x14ac:dyDescent="0.2">
      <c r="A216" s="178">
        <v>44301.42597222222</v>
      </c>
      <c r="B216" s="176" t="s">
        <v>1458</v>
      </c>
      <c r="C216" s="179" t="str">
        <f ca="1">HYPERLINK("#" &amp; CELL("address", 'V1.41'!$E$8), "E8")</f>
        <v>E8</v>
      </c>
      <c r="D216" s="46" t="s">
        <v>1902</v>
      </c>
    </row>
    <row r="217" spans="1:4" ht="28.5" x14ac:dyDescent="0.2">
      <c r="A217" s="178">
        <v>44301.42597222222</v>
      </c>
      <c r="B217" s="176" t="s">
        <v>1458</v>
      </c>
      <c r="C217" s="179" t="str">
        <f ca="1">HYPERLINK("#" &amp; CELL("address", 'V1.41'!$E$9), "E9")</f>
        <v>E9</v>
      </c>
      <c r="D217" s="46" t="s">
        <v>1902</v>
      </c>
    </row>
    <row r="218" spans="1:4" ht="28.5" x14ac:dyDescent="0.2">
      <c r="A218" s="178">
        <v>44301.425983796296</v>
      </c>
      <c r="B218" s="176" t="s">
        <v>1458</v>
      </c>
      <c r="C218" s="179" t="str">
        <f ca="1">HYPERLINK("#" &amp; CELL("address", 'V1.41'!$E$11), "E11")</f>
        <v>E11</v>
      </c>
      <c r="D218" s="46" t="s">
        <v>1902</v>
      </c>
    </row>
    <row r="219" spans="1:4" ht="28.5" x14ac:dyDescent="0.2">
      <c r="A219" s="178">
        <v>44301.425983796296</v>
      </c>
      <c r="B219" s="176" t="s">
        <v>1458</v>
      </c>
      <c r="C219" s="179" t="str">
        <f ca="1">HYPERLINK("#" &amp; CELL("address", 'V1.41'!$E$12), "E12")</f>
        <v>E12</v>
      </c>
      <c r="D219" s="46" t="s">
        <v>1902</v>
      </c>
    </row>
    <row r="220" spans="1:4" ht="28.5" x14ac:dyDescent="0.2">
      <c r="A220" s="178">
        <v>44301.426134259258</v>
      </c>
      <c r="B220" s="176" t="s">
        <v>1459</v>
      </c>
      <c r="C220" s="179" t="str">
        <f ca="1">HYPERLINK("#" &amp; CELL("address", 'V1.42'!$G$5), "G5")</f>
        <v>G5</v>
      </c>
      <c r="D220" s="46" t="s">
        <v>1902</v>
      </c>
    </row>
    <row r="221" spans="1:4" ht="28.5" x14ac:dyDescent="0.2">
      <c r="A221" s="178">
        <v>44301.426134259258</v>
      </c>
      <c r="B221" s="176" t="s">
        <v>1459</v>
      </c>
      <c r="C221" s="179" t="str">
        <f ca="1">HYPERLINK("#" &amp; CELL("address", 'V1.42'!$G$6), "G6")</f>
        <v>G6</v>
      </c>
      <c r="D221" s="46" t="s">
        <v>1902</v>
      </c>
    </row>
    <row r="222" spans="1:4" ht="28.5" x14ac:dyDescent="0.2">
      <c r="A222" s="178">
        <v>44301.426134259258</v>
      </c>
      <c r="B222" s="176" t="s">
        <v>1459</v>
      </c>
      <c r="C222" s="179" t="str">
        <f ca="1">HYPERLINK("#" &amp; CELL("address", 'V1.42'!$G$7), "G7")</f>
        <v>G7</v>
      </c>
      <c r="D222" s="46" t="s">
        <v>1902</v>
      </c>
    </row>
    <row r="223" spans="1:4" ht="28.5" x14ac:dyDescent="0.2">
      <c r="A223" s="178">
        <v>44301.426145833335</v>
      </c>
      <c r="B223" s="176" t="s">
        <v>1459</v>
      </c>
      <c r="C223" s="179" t="str">
        <f ca="1">HYPERLINK("#" &amp; CELL("address", 'V1.42'!$G$8), "G8")</f>
        <v>G8</v>
      </c>
      <c r="D223" s="46" t="s">
        <v>1902</v>
      </c>
    </row>
    <row r="224" spans="1:4" ht="28.5" x14ac:dyDescent="0.2">
      <c r="A224" s="178">
        <v>44301.426145833335</v>
      </c>
      <c r="B224" s="176" t="s">
        <v>1459</v>
      </c>
      <c r="C224" s="179" t="str">
        <f ca="1">HYPERLINK("#" &amp; CELL("address", 'V1.42'!$G$9), "G9")</f>
        <v>G9</v>
      </c>
      <c r="D224" s="46" t="s">
        <v>1902</v>
      </c>
    </row>
    <row r="225" spans="1:4" ht="28.5" x14ac:dyDescent="0.2">
      <c r="A225" s="178">
        <v>44301.426145833335</v>
      </c>
      <c r="B225" s="176" t="s">
        <v>1459</v>
      </c>
      <c r="C225" s="179" t="str">
        <f ca="1">HYPERLINK("#" &amp; CELL("address", 'V1.42'!$G$11), "G11")</f>
        <v>G11</v>
      </c>
      <c r="D225" s="46" t="s">
        <v>1902</v>
      </c>
    </row>
    <row r="226" spans="1:4" ht="28.5" x14ac:dyDescent="0.2">
      <c r="A226" s="178">
        <v>44301.426145833335</v>
      </c>
      <c r="B226" s="176" t="s">
        <v>1459</v>
      </c>
      <c r="C226" s="179" t="str">
        <f ca="1">HYPERLINK("#" &amp; CELL("address", 'V1.42'!$G$12), "G12")</f>
        <v>G12</v>
      </c>
      <c r="D226" s="46" t="s">
        <v>1902</v>
      </c>
    </row>
    <row r="227" spans="1:4" x14ac:dyDescent="0.2">
      <c r="A227" s="178">
        <v>44301.441481481481</v>
      </c>
      <c r="B227" s="176" t="s">
        <v>1502</v>
      </c>
      <c r="C227" s="179" t="str">
        <f ca="1">HYPERLINK("#" &amp; CELL("address", Concepts!$C$36), "C33")</f>
        <v>C33</v>
      </c>
      <c r="D227" s="46" t="s">
        <v>1903</v>
      </c>
    </row>
    <row r="228" spans="1:4" x14ac:dyDescent="0.2">
      <c r="A228" s="178">
        <v>44301.442349537036</v>
      </c>
      <c r="B228" s="176" t="s">
        <v>906</v>
      </c>
      <c r="C228" s="179" t="str">
        <f ca="1">HYPERLINK("#" &amp; CELL("address", 'Customer category'!$A$41), "A41")</f>
        <v>A41</v>
      </c>
      <c r="D228" s="46" t="s">
        <v>1905</v>
      </c>
    </row>
    <row r="229" spans="1:4" x14ac:dyDescent="0.2">
      <c r="A229" s="178">
        <v>44301.444212962961</v>
      </c>
      <c r="B229" s="176" t="s">
        <v>1502</v>
      </c>
      <c r="C229" s="179" t="str">
        <f ca="1">HYPERLINK("#" &amp; CELL("address", Concepts!$C$54), "C50")</f>
        <v>C50</v>
      </c>
      <c r="D229" s="46" t="s">
        <v>1907</v>
      </c>
    </row>
    <row r="230" spans="1:4" x14ac:dyDescent="0.2">
      <c r="A230" s="178">
        <v>44301.444652777776</v>
      </c>
      <c r="B230" s="176" t="s">
        <v>1502</v>
      </c>
      <c r="C230" s="179" t="str">
        <f ca="1">HYPERLINK("#" &amp; CELL("address", Concepts!$C$59), "C54")</f>
        <v>C54</v>
      </c>
      <c r="D230" s="46" t="s">
        <v>1909</v>
      </c>
    </row>
    <row r="231" spans="1:4" ht="28.5" x14ac:dyDescent="0.2">
      <c r="A231" s="178">
        <v>44301.446608796294</v>
      </c>
      <c r="B231" s="176" t="s">
        <v>1502</v>
      </c>
      <c r="C231" s="179" t="str">
        <f ca="1">HYPERLINK("#" &amp; CELL("address", Concepts!$D$71), "D66")</f>
        <v>D66</v>
      </c>
      <c r="D231" s="46" t="s">
        <v>1911</v>
      </c>
    </row>
    <row r="232" spans="1:4" x14ac:dyDescent="0.2">
      <c r="A232" s="178">
        <v>44301.447106481479</v>
      </c>
      <c r="B232" s="176" t="s">
        <v>1502</v>
      </c>
      <c r="C232" s="179" t="str">
        <f ca="1">HYPERLINK("#" &amp; CELL("address", Concepts!$F$62), "F57")</f>
        <v>F57</v>
      </c>
      <c r="D232" s="46" t="s">
        <v>1912</v>
      </c>
    </row>
    <row r="233" spans="1:4" x14ac:dyDescent="0.2">
      <c r="A233" s="178">
        <v>44301.447106481479</v>
      </c>
      <c r="B233" s="176" t="s">
        <v>1502</v>
      </c>
      <c r="C233" s="179" t="str">
        <f ca="1">HYPERLINK("#" &amp; CELL("address", Concepts!$F$71), "F66")</f>
        <v>F66</v>
      </c>
      <c r="D233" s="46" t="s">
        <v>1912</v>
      </c>
    </row>
    <row r="234" spans="1:4" ht="28.5" x14ac:dyDescent="0.2">
      <c r="A234" s="178">
        <v>44301.449560185189</v>
      </c>
      <c r="B234" s="176" t="s">
        <v>1502</v>
      </c>
      <c r="C234" s="179" t="str">
        <f ca="1">HYPERLINK("#" &amp; CELL("address", Concepts!$C$89), "C82")</f>
        <v>C82</v>
      </c>
      <c r="D234" s="46" t="s">
        <v>1914</v>
      </c>
    </row>
    <row r="235" spans="1:4" ht="28.5" x14ac:dyDescent="0.2">
      <c r="A235" s="178">
        <v>44301.450462962966</v>
      </c>
      <c r="B235" s="176" t="s">
        <v>1502</v>
      </c>
      <c r="C235" s="179" t="str">
        <f ca="1">HYPERLINK("#" &amp; CELL("address", Concepts!$C$90), "C83")</f>
        <v>C83</v>
      </c>
      <c r="D235" s="46" t="s">
        <v>1915</v>
      </c>
    </row>
    <row r="236" spans="1:4" ht="28.5" x14ac:dyDescent="0.2">
      <c r="A236" s="178">
        <v>44301.453611111108</v>
      </c>
      <c r="B236" s="176" t="s">
        <v>1502</v>
      </c>
      <c r="C236" s="179" t="str">
        <f ca="1">HYPERLINK("#" &amp; CELL("address", Concepts!$A$3), "A3")</f>
        <v>A3</v>
      </c>
      <c r="D236" s="46" t="s">
        <v>1917</v>
      </c>
    </row>
    <row r="237" spans="1:4" ht="42.75" x14ac:dyDescent="0.2">
      <c r="A237" s="178">
        <v>44301.461458333331</v>
      </c>
      <c r="B237" s="176" t="s">
        <v>1534</v>
      </c>
      <c r="C237" s="179" t="str">
        <f ca="1">HYPERLINK("#" &amp; CELL("address", 'V1.50+V1.50-F'!$C$4), "C4")</f>
        <v>C4</v>
      </c>
      <c r="D237" s="46" t="s">
        <v>1920</v>
      </c>
    </row>
    <row r="238" spans="1:4" ht="42.75" x14ac:dyDescent="0.2">
      <c r="A238" s="178">
        <v>44301.461458333331</v>
      </c>
      <c r="B238" s="176" t="s">
        <v>1534</v>
      </c>
      <c r="C238" s="179" t="str">
        <f ca="1">HYPERLINK("#" &amp; CELL("address", 'V1.50+V1.50-F'!$C$5), "C5")</f>
        <v>C5</v>
      </c>
      <c r="D238" s="46" t="s">
        <v>1920</v>
      </c>
    </row>
    <row r="239" spans="1:4" ht="42.75" x14ac:dyDescent="0.2">
      <c r="A239" s="178">
        <v>44301.461458333331</v>
      </c>
      <c r="B239" s="176" t="s">
        <v>1534</v>
      </c>
      <c r="C239" s="179" t="str">
        <f ca="1">HYPERLINK("#" &amp; CELL("address", 'V1.50+V1.50-F'!$C$6), "C6")</f>
        <v>C6</v>
      </c>
      <c r="D239" s="46" t="s">
        <v>1920</v>
      </c>
    </row>
    <row r="240" spans="1:4" ht="42.75" x14ac:dyDescent="0.2">
      <c r="A240" s="178">
        <v>44301.461458333331</v>
      </c>
      <c r="B240" s="176" t="s">
        <v>1534</v>
      </c>
      <c r="C240" s="179" t="str">
        <f ca="1">HYPERLINK("#" &amp; CELL("address", 'V1.50+V1.50-F'!$C$7), "C7")</f>
        <v>C7</v>
      </c>
      <c r="D240" s="46" t="s">
        <v>1920</v>
      </c>
    </row>
    <row r="241" spans="1:4" ht="42.75" x14ac:dyDescent="0.2">
      <c r="A241" s="178">
        <v>44301.461458333331</v>
      </c>
      <c r="B241" s="176" t="s">
        <v>1534</v>
      </c>
      <c r="C241" s="179" t="str">
        <f ca="1">HYPERLINK("#" &amp; CELL("address", 'V1.50+V1.50-F'!$C$8), "C8")</f>
        <v>C8</v>
      </c>
      <c r="D241" s="46" t="s">
        <v>1920</v>
      </c>
    </row>
    <row r="242" spans="1:4" ht="42.75" x14ac:dyDescent="0.2">
      <c r="A242" s="178">
        <v>44301.461458333331</v>
      </c>
      <c r="B242" s="176" t="s">
        <v>1534</v>
      </c>
      <c r="C242" s="179" t="str">
        <f ca="1">HYPERLINK("#" &amp; CELL("address", 'V1.50+V1.50-F'!$C$9), "C9")</f>
        <v>C9</v>
      </c>
      <c r="D242" s="46" t="s">
        <v>1920</v>
      </c>
    </row>
    <row r="243" spans="1:4" ht="42.75" x14ac:dyDescent="0.2">
      <c r="A243" s="178">
        <v>44301.461458333331</v>
      </c>
      <c r="B243" s="176" t="s">
        <v>1534</v>
      </c>
      <c r="C243" s="179" t="str">
        <f ca="1">HYPERLINK("#" &amp; CELL("address", 'V1.50+V1.50-F'!$C$10), "C10")</f>
        <v>C10</v>
      </c>
      <c r="D243" s="46" t="s">
        <v>1920</v>
      </c>
    </row>
    <row r="244" spans="1:4" ht="42.75" x14ac:dyDescent="0.2">
      <c r="A244" s="178">
        <v>44301.461608796293</v>
      </c>
      <c r="B244" s="176" t="s">
        <v>1535</v>
      </c>
      <c r="C244" s="179" t="str">
        <f ca="1">HYPERLINK("#" &amp; CELL("address", 'V1.52+V1.52-F'!$C$4), "C4")</f>
        <v>C4</v>
      </c>
      <c r="D244" s="46" t="s">
        <v>1920</v>
      </c>
    </row>
    <row r="245" spans="1:4" ht="42.75" x14ac:dyDescent="0.2">
      <c r="A245" s="178">
        <v>44301.461608796293</v>
      </c>
      <c r="B245" s="176" t="s">
        <v>1535</v>
      </c>
      <c r="C245" s="179" t="str">
        <f ca="1">HYPERLINK("#" &amp; CELL("address", 'V1.52+V1.52-F'!$C$5), "C5")</f>
        <v>C5</v>
      </c>
      <c r="D245" s="46" t="s">
        <v>1920</v>
      </c>
    </row>
    <row r="246" spans="1:4" ht="42.75" x14ac:dyDescent="0.2">
      <c r="A246" s="178">
        <v>44301.461608796293</v>
      </c>
      <c r="B246" s="176" t="s">
        <v>1535</v>
      </c>
      <c r="C246" s="179" t="str">
        <f ca="1">HYPERLINK("#" &amp; CELL("address", 'V1.52+V1.52-F'!$C$6), "C6")</f>
        <v>C6</v>
      </c>
      <c r="D246" s="46" t="s">
        <v>1920</v>
      </c>
    </row>
    <row r="247" spans="1:4" ht="42.75" x14ac:dyDescent="0.2">
      <c r="A247" s="178">
        <v>44301.46162037037</v>
      </c>
      <c r="B247" s="176" t="s">
        <v>1535</v>
      </c>
      <c r="C247" s="179" t="str">
        <f ca="1">HYPERLINK("#" &amp; CELL("address", 'V1.52+V1.52-F'!$C$7), "C7")</f>
        <v>C7</v>
      </c>
      <c r="D247" s="46" t="s">
        <v>1920</v>
      </c>
    </row>
    <row r="248" spans="1:4" ht="42.75" x14ac:dyDescent="0.2">
      <c r="A248" s="178">
        <v>44301.46162037037</v>
      </c>
      <c r="B248" s="176" t="s">
        <v>1535</v>
      </c>
      <c r="C248" s="179" t="str">
        <f ca="1">HYPERLINK("#" &amp; CELL("address", 'V1.52+V1.52-F'!$C$8), "C8")</f>
        <v>C8</v>
      </c>
      <c r="D248" s="46" t="s">
        <v>1920</v>
      </c>
    </row>
    <row r="249" spans="1:4" ht="42.75" x14ac:dyDescent="0.2">
      <c r="A249" s="178">
        <v>44301.46162037037</v>
      </c>
      <c r="B249" s="176" t="s">
        <v>1535</v>
      </c>
      <c r="C249" s="179" t="str">
        <f ca="1">HYPERLINK("#" &amp; CELL("address", 'V1.52+V1.52-F'!$C$9), "C9")</f>
        <v>C9</v>
      </c>
      <c r="D249" s="46" t="s">
        <v>1920</v>
      </c>
    </row>
    <row r="250" spans="1:4" ht="42.75" x14ac:dyDescent="0.2">
      <c r="A250" s="178">
        <v>44301.46162037037</v>
      </c>
      <c r="B250" s="176" t="s">
        <v>1535</v>
      </c>
      <c r="C250" s="179" t="str">
        <f ca="1">HYPERLINK("#" &amp; CELL("address", 'V1.52+V1.52-F'!$C$10), "C10")</f>
        <v>C10</v>
      </c>
      <c r="D250" s="46" t="s">
        <v>1920</v>
      </c>
    </row>
    <row r="251" spans="1:4" ht="42.75" x14ac:dyDescent="0.2">
      <c r="A251" s="178">
        <v>44301.461921296293</v>
      </c>
      <c r="B251" s="176" t="s">
        <v>1101</v>
      </c>
      <c r="C251" s="179" t="str">
        <f ca="1">HYPERLINK("#" &amp; CELL("address", 'V1.53'!$A$4), "A4")</f>
        <v>A4</v>
      </c>
      <c r="D251" s="46" t="s">
        <v>1920</v>
      </c>
    </row>
    <row r="252" spans="1:4" ht="42.75" x14ac:dyDescent="0.2">
      <c r="A252" s="178">
        <v>44301.461921296293</v>
      </c>
      <c r="B252" s="176" t="s">
        <v>1101</v>
      </c>
      <c r="C252" s="179" t="str">
        <f ca="1">HYPERLINK("#" &amp; CELL("address", 'V1.53'!$A$5), "A5")</f>
        <v>A5</v>
      </c>
      <c r="D252" s="46" t="s">
        <v>1920</v>
      </c>
    </row>
    <row r="253" spans="1:4" ht="42.75" x14ac:dyDescent="0.2">
      <c r="A253" s="178">
        <v>44301.461921296293</v>
      </c>
      <c r="B253" s="176" t="s">
        <v>1101</v>
      </c>
      <c r="C253" s="179" t="str">
        <f ca="1">HYPERLINK("#" &amp; CELL("address", 'V1.53'!$A$6), "A6")</f>
        <v>A6</v>
      </c>
      <c r="D253" s="46" t="s">
        <v>1920</v>
      </c>
    </row>
    <row r="254" spans="1:4" ht="42.75" x14ac:dyDescent="0.2">
      <c r="A254" s="178">
        <v>44301.461921296293</v>
      </c>
      <c r="B254" s="176" t="s">
        <v>1101</v>
      </c>
      <c r="C254" s="179" t="str">
        <f ca="1">HYPERLINK("#" &amp; CELL("address", 'V1.53'!$A$7), "A7")</f>
        <v>A7</v>
      </c>
      <c r="D254" s="46" t="s">
        <v>1920</v>
      </c>
    </row>
    <row r="255" spans="1:4" ht="42.75" x14ac:dyDescent="0.2">
      <c r="A255" s="178">
        <v>44301.461921296293</v>
      </c>
      <c r="B255" s="176" t="s">
        <v>1101</v>
      </c>
      <c r="C255" s="179" t="str">
        <f ca="1">HYPERLINK("#" &amp; CELL("address", 'V1.53'!$A$8), "A8")</f>
        <v>A8</v>
      </c>
      <c r="D255" s="46" t="s">
        <v>1920</v>
      </c>
    </row>
    <row r="256" spans="1:4" ht="42.75" x14ac:dyDescent="0.2">
      <c r="A256" s="178">
        <v>44301.461921296293</v>
      </c>
      <c r="B256" s="176" t="s">
        <v>1101</v>
      </c>
      <c r="C256" s="179" t="str">
        <f ca="1">HYPERLINK("#" &amp; CELL("address", 'V1.53'!$A$9), "A9")</f>
        <v>A9</v>
      </c>
      <c r="D256" s="46" t="s">
        <v>1920</v>
      </c>
    </row>
    <row r="257" spans="1:4" ht="42.75" x14ac:dyDescent="0.2">
      <c r="A257" s="178">
        <v>44301.46193287037</v>
      </c>
      <c r="B257" s="176" t="s">
        <v>1101</v>
      </c>
      <c r="C257" s="179" t="str">
        <f ca="1">HYPERLINK("#" &amp; CELL("address", 'V1.53'!$A$10), "A10")</f>
        <v>A10</v>
      </c>
      <c r="D257" s="46" t="s">
        <v>1920</v>
      </c>
    </row>
    <row r="258" spans="1:4" ht="42.75" x14ac:dyDescent="0.2">
      <c r="A258" s="178">
        <v>44301.462187500001</v>
      </c>
      <c r="B258" s="176" t="s">
        <v>1466</v>
      </c>
      <c r="C258" s="179" t="str">
        <f ca="1">HYPERLINK("#" &amp; CELL("address", 'V1.200'!$C$4), "C4")</f>
        <v>C4</v>
      </c>
      <c r="D258" s="46" t="s">
        <v>1920</v>
      </c>
    </row>
    <row r="259" spans="1:4" ht="42.75" x14ac:dyDescent="0.2">
      <c r="A259" s="178">
        <v>44301.462187500001</v>
      </c>
      <c r="B259" s="176" t="s">
        <v>1466</v>
      </c>
      <c r="C259" s="179" t="str">
        <f ca="1">HYPERLINK("#" &amp; CELL("address", 'V1.200'!$C$5), "C5")</f>
        <v>C5</v>
      </c>
      <c r="D259" s="46" t="s">
        <v>1920</v>
      </c>
    </row>
    <row r="260" spans="1:4" ht="42.75" x14ac:dyDescent="0.2">
      <c r="A260" s="178">
        <v>44301.462187500001</v>
      </c>
      <c r="B260" s="176" t="s">
        <v>1466</v>
      </c>
      <c r="C260" s="179" t="str">
        <f ca="1">HYPERLINK("#" &amp; CELL("address", 'V1.200'!$C$6), "C6")</f>
        <v>C6</v>
      </c>
      <c r="D260" s="46" t="s">
        <v>1920</v>
      </c>
    </row>
    <row r="261" spans="1:4" ht="42.75" x14ac:dyDescent="0.2">
      <c r="A261" s="178">
        <v>44301.462199074071</v>
      </c>
      <c r="B261" s="176" t="s">
        <v>1466</v>
      </c>
      <c r="C261" s="179" t="str">
        <f ca="1">HYPERLINK("#" &amp; CELL("address", 'V1.200'!$C$7), "C7")</f>
        <v>C7</v>
      </c>
      <c r="D261" s="46" t="s">
        <v>1920</v>
      </c>
    </row>
    <row r="262" spans="1:4" ht="42.75" x14ac:dyDescent="0.2">
      <c r="A262" s="178">
        <v>44301.462199074071</v>
      </c>
      <c r="B262" s="176" t="s">
        <v>1466</v>
      </c>
      <c r="C262" s="179" t="str">
        <f ca="1">HYPERLINK("#" &amp; CELL("address", 'V1.200'!$C$8), "C8")</f>
        <v>C8</v>
      </c>
      <c r="D262" s="46" t="s">
        <v>1920</v>
      </c>
    </row>
    <row r="263" spans="1:4" ht="42.75" x14ac:dyDescent="0.2">
      <c r="A263" s="178">
        <v>44301.462199074071</v>
      </c>
      <c r="B263" s="176" t="s">
        <v>1466</v>
      </c>
      <c r="C263" s="179" t="str">
        <f ca="1">HYPERLINK("#" &amp; CELL("address", 'V1.200'!$C$9), "C9")</f>
        <v>C9</v>
      </c>
      <c r="D263" s="46" t="s">
        <v>1920</v>
      </c>
    </row>
    <row r="264" spans="1:4" ht="42.75" x14ac:dyDescent="0.2">
      <c r="A264" s="178">
        <v>44301.462199074071</v>
      </c>
      <c r="B264" s="176" t="s">
        <v>1466</v>
      </c>
      <c r="C264" s="179" t="str">
        <f ca="1">HYPERLINK("#" &amp; CELL("address", 'V1.200'!$C$10), "C10")</f>
        <v>C10</v>
      </c>
      <c r="D264" s="46" t="s">
        <v>1920</v>
      </c>
    </row>
    <row r="265" spans="1:4" ht="42.75" x14ac:dyDescent="0.2">
      <c r="A265" s="178">
        <v>44301.462442129632</v>
      </c>
      <c r="B265" s="176" t="s">
        <v>1467</v>
      </c>
      <c r="C265" s="179" t="str">
        <f ca="1">HYPERLINK("#" &amp; CELL("address", 'V1.201'!$C$4), "C4")</f>
        <v>C4</v>
      </c>
      <c r="D265" s="46" t="s">
        <v>1920</v>
      </c>
    </row>
    <row r="266" spans="1:4" ht="42.75" x14ac:dyDescent="0.2">
      <c r="A266" s="178">
        <v>44301.462442129632</v>
      </c>
      <c r="B266" s="176" t="s">
        <v>1467</v>
      </c>
      <c r="C266" s="179" t="str">
        <f ca="1">HYPERLINK("#" &amp; CELL("address", 'V1.201'!$C$5), "C5")</f>
        <v>C5</v>
      </c>
      <c r="D266" s="46" t="s">
        <v>1920</v>
      </c>
    </row>
    <row r="267" spans="1:4" ht="42.75" x14ac:dyDescent="0.2">
      <c r="A267" s="178">
        <v>44301.462442129632</v>
      </c>
      <c r="B267" s="176" t="s">
        <v>1467</v>
      </c>
      <c r="C267" s="179" t="str">
        <f ca="1">HYPERLINK("#" &amp; CELL("address", 'V1.201'!$C$6), "C6")</f>
        <v>C6</v>
      </c>
      <c r="D267" s="46" t="s">
        <v>1920</v>
      </c>
    </row>
    <row r="268" spans="1:4" ht="42.75" x14ac:dyDescent="0.2">
      <c r="A268" s="178">
        <v>44301.462442129632</v>
      </c>
      <c r="B268" s="176" t="s">
        <v>1467</v>
      </c>
      <c r="C268" s="179" t="str">
        <f ca="1">HYPERLINK("#" &amp; CELL("address", 'V1.201'!$C$7), "C7")</f>
        <v>C7</v>
      </c>
      <c r="D268" s="46" t="s">
        <v>1920</v>
      </c>
    </row>
    <row r="269" spans="1:4" ht="42.75" x14ac:dyDescent="0.2">
      <c r="A269" s="178">
        <v>44301.462453703702</v>
      </c>
      <c r="B269" s="176" t="s">
        <v>1467</v>
      </c>
      <c r="C269" s="179" t="str">
        <f ca="1">HYPERLINK("#" &amp; CELL("address", 'V1.201'!$C$8), "C8")</f>
        <v>C8</v>
      </c>
      <c r="D269" s="46" t="s">
        <v>1920</v>
      </c>
    </row>
    <row r="270" spans="1:4" ht="42.75" x14ac:dyDescent="0.2">
      <c r="A270" s="178">
        <v>44301.462453703702</v>
      </c>
      <c r="B270" s="176" t="s">
        <v>1467</v>
      </c>
      <c r="C270" s="179" t="str">
        <f ca="1">HYPERLINK("#" &amp; CELL("address", 'V1.201'!$C$9), "C9")</f>
        <v>C9</v>
      </c>
      <c r="D270" s="46" t="s">
        <v>1920</v>
      </c>
    </row>
    <row r="271" spans="1:4" ht="42.75" x14ac:dyDescent="0.2">
      <c r="A271" s="178">
        <v>44301.462453703702</v>
      </c>
      <c r="B271" s="176" t="s">
        <v>1467</v>
      </c>
      <c r="C271" s="179" t="str">
        <f ca="1">HYPERLINK("#" &amp; CELL("address", 'V1.201'!$C$10), "C10")</f>
        <v>C10</v>
      </c>
      <c r="D271" s="46" t="s">
        <v>1920</v>
      </c>
    </row>
    <row r="272" spans="1:4" ht="42.75" x14ac:dyDescent="0.2">
      <c r="A272" s="178">
        <v>44301.462939814817</v>
      </c>
      <c r="B272" s="176" t="s">
        <v>1502</v>
      </c>
      <c r="C272" s="179" t="str">
        <f ca="1">HYPERLINK("#" &amp; CELL("address", Concepts!$A$1), "A1")</f>
        <v>A1</v>
      </c>
      <c r="D272" s="46" t="s">
        <v>1921</v>
      </c>
    </row>
    <row r="273" spans="1:4" ht="28.5" x14ac:dyDescent="0.2">
      <c r="A273" s="178">
        <v>44301.464432870373</v>
      </c>
      <c r="B273" s="176" t="s">
        <v>1502</v>
      </c>
      <c r="C273" s="179" t="str">
        <f ca="1">HYPERLINK("#" &amp; CELL("address", Concepts!$C$112), "C106")</f>
        <v>C106</v>
      </c>
      <c r="D273" s="46" t="s">
        <v>1923</v>
      </c>
    </row>
    <row r="274" spans="1:4" ht="28.5" x14ac:dyDescent="0.2">
      <c r="A274" s="178">
        <v>44301.465624999997</v>
      </c>
      <c r="B274" s="176" t="s">
        <v>1502</v>
      </c>
      <c r="C274" s="179" t="str">
        <f ca="1">HYPERLINK("#" &amp; CELL("address", Concepts!$C$131), "C124")</f>
        <v>C124</v>
      </c>
      <c r="D274" s="46" t="s">
        <v>1926</v>
      </c>
    </row>
    <row r="275" spans="1:4" ht="28.5" x14ac:dyDescent="0.2">
      <c r="A275" s="178">
        <v>44301.465624999997</v>
      </c>
      <c r="B275" s="176" t="s">
        <v>1502</v>
      </c>
      <c r="C275" s="179" t="str">
        <f ca="1">HYPERLINK("#" &amp; CELL("address", Concepts!$C$132), "C125")</f>
        <v>C125</v>
      </c>
      <c r="D275" s="46" t="s">
        <v>1926</v>
      </c>
    </row>
    <row r="276" spans="1:4" x14ac:dyDescent="0.2">
      <c r="A276" s="178">
        <v>44301.466944444444</v>
      </c>
      <c r="B276" s="176" t="s">
        <v>1502</v>
      </c>
      <c r="C276" s="179" t="str">
        <f ca="1">HYPERLINK("#" &amp; CELL("address", Concepts!$D$177), "D169")</f>
        <v>D169</v>
      </c>
      <c r="D276" s="46" t="s">
        <v>1928</v>
      </c>
    </row>
    <row r="277" spans="1:4" x14ac:dyDescent="0.2">
      <c r="A277" s="178">
        <v>44301.467349537037</v>
      </c>
      <c r="B277" s="176" t="s">
        <v>1502</v>
      </c>
      <c r="C277" s="179" t="str">
        <f ca="1">HYPERLINK("#" &amp; CELL("address", Concepts!$D$209), "D201")</f>
        <v>D201</v>
      </c>
      <c r="D277" s="46" t="s">
        <v>1930</v>
      </c>
    </row>
    <row r="278" spans="1:4" ht="28.5" x14ac:dyDescent="0.2">
      <c r="A278" s="178">
        <v>44301.473078703704</v>
      </c>
      <c r="B278" s="176" t="s">
        <v>1534</v>
      </c>
      <c r="C278" s="179" t="str">
        <f ca="1">HYPERLINK("#" &amp; CELL("address", 'V1.50+V1.50-F'!$A$9), "A9")</f>
        <v>A9</v>
      </c>
      <c r="D278" s="46" t="s">
        <v>1931</v>
      </c>
    </row>
    <row r="279" spans="1:4" ht="28.5" x14ac:dyDescent="0.2">
      <c r="A279" s="178">
        <v>44301.473657407405</v>
      </c>
      <c r="B279" s="176" t="s">
        <v>1535</v>
      </c>
      <c r="C279" s="179" t="str">
        <f ca="1">HYPERLINK("#" &amp; CELL("address", 'V1.52+V1.52-F'!$A$9), "A9")</f>
        <v>A9</v>
      </c>
      <c r="D279" s="46" t="s">
        <v>1931</v>
      </c>
    </row>
    <row r="280" spans="1:4" x14ac:dyDescent="0.2">
      <c r="A280" s="178">
        <v>44301.477916666663</v>
      </c>
      <c r="B280" s="176" t="s">
        <v>1533</v>
      </c>
      <c r="C280" s="179" t="str">
        <f ca="1">HYPERLINK("#" &amp; CELL("address", 'V1.20+V1.20-F'!$G$3), "G3")</f>
        <v>G3</v>
      </c>
      <c r="D280" s="46" t="s">
        <v>1932</v>
      </c>
    </row>
    <row r="281" spans="1:4" ht="28.5" x14ac:dyDescent="0.2">
      <c r="A281" s="178">
        <v>44301.478263888886</v>
      </c>
      <c r="B281" s="176" t="s">
        <v>1502</v>
      </c>
      <c r="C281" s="179" t="str">
        <f ca="1">HYPERLINK("#" &amp; CELL("address", Concepts!$A$35), "A32")</f>
        <v>A32</v>
      </c>
      <c r="D281" s="46" t="s">
        <v>1933</v>
      </c>
    </row>
    <row r="282" spans="1:4" x14ac:dyDescent="0.2">
      <c r="A282" s="178">
        <v>44301.479155092595</v>
      </c>
      <c r="B282" s="176" t="s">
        <v>1533</v>
      </c>
      <c r="C282" s="179" t="str">
        <f ca="1">HYPERLINK("#" &amp; CELL("address", 'V1.20+V1.20-F'!$A$74), "A76")</f>
        <v>A76</v>
      </c>
      <c r="D282" s="46" t="s">
        <v>1934</v>
      </c>
    </row>
    <row r="283" spans="1:4" ht="28.5" x14ac:dyDescent="0.2">
      <c r="A283" s="178">
        <v>44301.479525462964</v>
      </c>
      <c r="B283" s="176" t="s">
        <v>1533</v>
      </c>
      <c r="C283" s="179" t="str">
        <f ca="1">HYPERLINK("#" &amp; CELL("address", 'V1.20+V1.20-F'!$G$76), "G78")</f>
        <v>G78</v>
      </c>
      <c r="D283" s="46" t="s">
        <v>1935</v>
      </c>
    </row>
    <row r="284" spans="1:4" ht="28.5" x14ac:dyDescent="0.2">
      <c r="A284" s="178">
        <v>44301.486018518517</v>
      </c>
      <c r="B284" s="176" t="s">
        <v>1534</v>
      </c>
      <c r="C284" s="179" t="str">
        <f ca="1">HYPERLINK("#" &amp; CELL("address", 'V1.50+V1.50-F'!$I$3), "I3")</f>
        <v>I3</v>
      </c>
      <c r="D284" s="46" t="s">
        <v>1938</v>
      </c>
    </row>
    <row r="285" spans="1:4" x14ac:dyDescent="0.2">
      <c r="A285" s="178">
        <v>44301.486377314817</v>
      </c>
      <c r="B285" s="176" t="s">
        <v>1534</v>
      </c>
      <c r="C285" s="179" t="str">
        <f ca="1">HYPERLINK("#" &amp; CELL("address", 'V1.50+V1.50-F'!$I$5), "I5")</f>
        <v>I5</v>
      </c>
      <c r="D285" s="46" t="s">
        <v>1939</v>
      </c>
    </row>
    <row r="286" spans="1:4" x14ac:dyDescent="0.2">
      <c r="A286" s="178">
        <v>44301.486550925925</v>
      </c>
      <c r="B286" s="176" t="s">
        <v>1534</v>
      </c>
      <c r="C286" s="179" t="str">
        <f ca="1">HYPERLINK("#" &amp; CELL("address", 'V1.50+V1.50-F'!$I$10), "I10")</f>
        <v>I10</v>
      </c>
      <c r="D286" s="46" t="s">
        <v>1940</v>
      </c>
    </row>
    <row r="287" spans="1:4" x14ac:dyDescent="0.2">
      <c r="A287" s="178">
        <v>44301.486979166664</v>
      </c>
      <c r="B287" s="176" t="s">
        <v>1502</v>
      </c>
      <c r="C287" s="179" t="str">
        <f ca="1">HYPERLINK("#" &amp; CELL("address", Concepts!$A$117), "A110")</f>
        <v>A110</v>
      </c>
      <c r="D287" s="46" t="s">
        <v>1942</v>
      </c>
    </row>
    <row r="288" spans="1:4" x14ac:dyDescent="0.2">
      <c r="A288" s="178">
        <v>44301.490949074076</v>
      </c>
      <c r="B288" s="176" t="s">
        <v>1502</v>
      </c>
      <c r="C288" s="179" t="str">
        <f ca="1">HYPERLINK("#" &amp; CELL("address", Concepts!$A$118), "A111")</f>
        <v>A111</v>
      </c>
      <c r="D288" s="46" t="s">
        <v>1947</v>
      </c>
    </row>
    <row r="289" spans="1:4" ht="28.5" x14ac:dyDescent="0.2">
      <c r="A289" s="178">
        <v>44301.492638888885</v>
      </c>
      <c r="B289" s="176" t="s">
        <v>1535</v>
      </c>
      <c r="C289" s="179" t="str">
        <f ca="1">HYPERLINK("#" &amp; CELL("address", 'V1.52+V1.52-F'!$I$3), "I3")</f>
        <v>I3</v>
      </c>
      <c r="D289" s="46" t="s">
        <v>1938</v>
      </c>
    </row>
    <row r="290" spans="1:4" x14ac:dyDescent="0.2">
      <c r="A290" s="178">
        <v>44301.493078703701</v>
      </c>
      <c r="B290" s="176" t="s">
        <v>1535</v>
      </c>
      <c r="C290" s="179" t="str">
        <f ca="1">HYPERLINK("#" &amp; CELL("address", 'V1.52+V1.52-F'!$I$5), "I5")</f>
        <v>I5</v>
      </c>
      <c r="D290" s="46" t="s">
        <v>1948</v>
      </c>
    </row>
    <row r="291" spans="1:4" x14ac:dyDescent="0.2">
      <c r="A291" s="178">
        <v>44301.493715277778</v>
      </c>
      <c r="B291" s="176" t="s">
        <v>1535</v>
      </c>
      <c r="C291" s="179" t="str">
        <f ca="1">HYPERLINK("#" &amp; CELL("address", 'V1.52+V1.52-F'!$I$10), "I10")</f>
        <v>I10</v>
      </c>
      <c r="D291" s="46" t="s">
        <v>1949</v>
      </c>
    </row>
    <row r="292" spans="1:4" ht="28.5" x14ac:dyDescent="0.2">
      <c r="A292" s="178">
        <v>44301.498564814814</v>
      </c>
      <c r="B292" s="176" t="s">
        <v>1502</v>
      </c>
      <c r="C292" s="179" t="str">
        <f ca="1">HYPERLINK("#" &amp; CELL("address", Concepts!$C$35), "C32")</f>
        <v>C32</v>
      </c>
      <c r="D292" s="46" t="s">
        <v>1951</v>
      </c>
    </row>
    <row r="293" spans="1:4" ht="28.5" x14ac:dyDescent="0.2">
      <c r="A293" s="178">
        <v>44301.50540509259</v>
      </c>
      <c r="B293" s="176" t="s">
        <v>1533</v>
      </c>
      <c r="C293" s="179" t="str">
        <f ca="1">HYPERLINK("#" &amp; CELL("address", 'V1.20+V1.20-F'!$A$8), "A8")</f>
        <v>A8</v>
      </c>
      <c r="D293" s="46" t="s">
        <v>1953</v>
      </c>
    </row>
    <row r="294" spans="1:4" ht="28.5" x14ac:dyDescent="0.2">
      <c r="A294" s="178">
        <v>44301.55027777778</v>
      </c>
      <c r="B294" s="176" t="s">
        <v>1096</v>
      </c>
      <c r="C294" s="179" t="str">
        <f ca="1">HYPERLINK("#" &amp; CELL("address", 'V1.21'!$A$8), "A8")</f>
        <v>A8</v>
      </c>
      <c r="D294" s="46" t="s">
        <v>1953</v>
      </c>
    </row>
    <row r="295" spans="1:4" ht="28.5" x14ac:dyDescent="0.2">
      <c r="A295" s="178">
        <v>44301.550439814811</v>
      </c>
      <c r="B295" s="176" t="s">
        <v>1771</v>
      </c>
      <c r="C295" s="179" t="str">
        <f ca="1">HYPERLINK("#" &amp; CELL("address", 'V1.30+V1.30-F'!$A$8), "A8")</f>
        <v>A8</v>
      </c>
      <c r="D295" s="46" t="s">
        <v>1953</v>
      </c>
    </row>
    <row r="296" spans="1:4" ht="28.5" x14ac:dyDescent="0.2">
      <c r="A296" s="178">
        <v>44301.550613425927</v>
      </c>
      <c r="B296" s="176" t="s">
        <v>1097</v>
      </c>
      <c r="C296" s="179" t="str">
        <f ca="1">HYPERLINK("#" &amp; CELL("address", 'V1.31'!$A$8), "A8")</f>
        <v>A8</v>
      </c>
      <c r="D296" s="46" t="s">
        <v>1953</v>
      </c>
    </row>
    <row r="297" spans="1:4" ht="28.5" x14ac:dyDescent="0.2">
      <c r="A297" s="178">
        <v>44301.550798611112</v>
      </c>
      <c r="B297" s="176" t="s">
        <v>1457</v>
      </c>
      <c r="C297" s="179" t="str">
        <f ca="1">HYPERLINK("#" &amp; CELL("address", 'V1.40'!$E$8), "E8")</f>
        <v>E8</v>
      </c>
      <c r="D297" s="46" t="s">
        <v>1953</v>
      </c>
    </row>
    <row r="298" spans="1:4" ht="28.5" x14ac:dyDescent="0.2">
      <c r="A298" s="178">
        <v>44301.550949074073</v>
      </c>
      <c r="B298" s="176" t="s">
        <v>1461</v>
      </c>
      <c r="C298" s="179" t="str">
        <f ca="1">HYPERLINK("#" &amp; CELL("address", 'V1.80'!$C$8), "C8")</f>
        <v>C8</v>
      </c>
      <c r="D298" s="46" t="s">
        <v>1953</v>
      </c>
    </row>
    <row r="299" spans="1:4" ht="28.5" x14ac:dyDescent="0.2">
      <c r="A299" s="178">
        <v>44301.551111111112</v>
      </c>
      <c r="B299" s="176" t="s">
        <v>1469</v>
      </c>
      <c r="C299" s="179" t="str">
        <f ca="1">HYPERLINK("#" &amp; CELL("address", 'V1.220'!$C$8), "C8")</f>
        <v>C8</v>
      </c>
      <c r="D299" s="46" t="s">
        <v>1953</v>
      </c>
    </row>
    <row r="300" spans="1:4" ht="28.5" x14ac:dyDescent="0.2">
      <c r="A300" s="178">
        <v>44301.665763888886</v>
      </c>
      <c r="B300" s="176" t="s">
        <v>1502</v>
      </c>
      <c r="C300" s="179" t="str">
        <f ca="1">HYPERLINK("#" &amp; CELL("address", Concepts!$C$20), "C17")</f>
        <v>C17</v>
      </c>
      <c r="D300" s="46" t="s">
        <v>1956</v>
      </c>
    </row>
    <row r="301" spans="1:4" x14ac:dyDescent="0.2">
      <c r="A301" s="178">
        <v>44301.666875000003</v>
      </c>
      <c r="B301" s="176" t="s">
        <v>1502</v>
      </c>
      <c r="C301" s="179" t="str">
        <f ca="1">HYPERLINK("#" &amp; CELL("address", Concepts!$C$32), "C29")</f>
        <v>C29</v>
      </c>
      <c r="D301" s="46" t="s">
        <v>1958</v>
      </c>
    </row>
    <row r="302" spans="1:4" ht="28.5" x14ac:dyDescent="0.2">
      <c r="A302" s="178">
        <v>44301.667199074072</v>
      </c>
      <c r="B302" s="176" t="s">
        <v>1502</v>
      </c>
      <c r="C302" s="179" t="str">
        <f ca="1">HYPERLINK("#" &amp; CELL("address", Concepts!$C$142), "C135")</f>
        <v>C135</v>
      </c>
      <c r="D302" s="46" t="s">
        <v>1956</v>
      </c>
    </row>
    <row r="303" spans="1:4" ht="28.5" x14ac:dyDescent="0.2">
      <c r="A303" s="178">
        <v>44301.66747685185</v>
      </c>
      <c r="B303" s="176" t="s">
        <v>1502</v>
      </c>
      <c r="C303" s="179" t="str">
        <f ca="1">HYPERLINK("#" &amp; CELL("address", Concepts!$C$201), "C193")</f>
        <v>C193</v>
      </c>
      <c r="D303" s="46" t="s">
        <v>1956</v>
      </c>
    </row>
    <row r="304" spans="1:4" ht="28.5" x14ac:dyDescent="0.2">
      <c r="A304" s="178">
        <v>44301.668449074074</v>
      </c>
      <c r="B304" s="176" t="s">
        <v>1458</v>
      </c>
      <c r="C304" s="179" t="str">
        <f ca="1">HYPERLINK("#" &amp; CELL("address", 'V1.41'!$A$22), "A22")</f>
        <v>A22</v>
      </c>
      <c r="D304" s="46" t="s">
        <v>1956</v>
      </c>
    </row>
    <row r="305" spans="1:4" x14ac:dyDescent="0.2">
      <c r="A305" s="178">
        <v>44301.66920138889</v>
      </c>
      <c r="B305" s="176" t="s">
        <v>1533</v>
      </c>
      <c r="C305" s="179" t="str">
        <f ca="1">HYPERLINK("#" &amp; CELL("address", 'V1.20+V1.20-F'!$A$53), "A55")</f>
        <v>A55</v>
      </c>
      <c r="D305" s="46" t="s">
        <v>1960</v>
      </c>
    </row>
    <row r="306" spans="1:4" x14ac:dyDescent="0.2">
      <c r="A306" s="178">
        <v>44302.494305555556</v>
      </c>
      <c r="B306" s="176" t="s">
        <v>633</v>
      </c>
      <c r="C306" s="179" t="str">
        <f ca="1">HYPERLINK("#" &amp; CELL("address", MCC!$A$1), "A1")</f>
        <v>A1</v>
      </c>
      <c r="D306" s="46" t="s">
        <v>2343</v>
      </c>
    </row>
    <row r="307" spans="1:4" x14ac:dyDescent="0.2">
      <c r="A307" s="178">
        <v>44302.495451388888</v>
      </c>
      <c r="B307" s="176" t="s">
        <v>478</v>
      </c>
      <c r="C307" s="179" t="str">
        <f ca="1">HYPERLINK("#" &amp; CELL("address", INDEX!$A$53), "A53")</f>
        <v>A53</v>
      </c>
      <c r="D307" s="46" t="s">
        <v>2344</v>
      </c>
    </row>
    <row r="308" spans="1:4" x14ac:dyDescent="0.2">
      <c r="A308" s="178">
        <v>44302.497442129628</v>
      </c>
      <c r="B308" s="176" t="s">
        <v>1099</v>
      </c>
      <c r="C308" s="179" t="str">
        <f ca="1">HYPERLINK("#" &amp; CELL("address", 'V1.51'!$A$14), "A14")</f>
        <v>A14</v>
      </c>
      <c r="D308" s="46" t="s">
        <v>2345</v>
      </c>
    </row>
    <row r="309" spans="1:4" x14ac:dyDescent="0.2">
      <c r="A309" s="178">
        <v>44302.49800925926</v>
      </c>
      <c r="B309" s="176" t="s">
        <v>1502</v>
      </c>
      <c r="C309" s="179" t="str">
        <f ca="1">HYPERLINK("#" &amp; CELL("address", Concepts!$D$130), "D123")</f>
        <v>D123</v>
      </c>
      <c r="D309" s="46" t="s">
        <v>2347</v>
      </c>
    </row>
    <row r="310" spans="1:4" x14ac:dyDescent="0.2">
      <c r="A310" s="178">
        <v>44307.456944444442</v>
      </c>
      <c r="B310" s="176" t="s">
        <v>1502</v>
      </c>
      <c r="C310" s="179" t="str">
        <f ca="1">HYPERLINK("#" &amp; CELL("address", Concepts!$A$221), "A214")</f>
        <v>A214</v>
      </c>
      <c r="D310" s="46" t="s">
        <v>2359</v>
      </c>
    </row>
    <row r="311" spans="1:4" x14ac:dyDescent="0.2">
      <c r="A311" s="178">
        <v>44307.457569444443</v>
      </c>
      <c r="B311" s="176" t="s">
        <v>1502</v>
      </c>
      <c r="C311" s="179" t="str">
        <f ca="1">HYPERLINK("#" &amp; CELL("address", Concepts!$A$222), "A215")</f>
        <v>A215</v>
      </c>
      <c r="D311" s="46" t="s">
        <v>2360</v>
      </c>
    </row>
    <row r="312" spans="1:4" x14ac:dyDescent="0.2">
      <c r="A312" s="178">
        <v>44307.462094907409</v>
      </c>
      <c r="B312" s="176" t="s">
        <v>1502</v>
      </c>
      <c r="C312" s="179" t="str">
        <f ca="1">HYPERLINK("#" &amp; CELL("address", Concepts!$A$223), "A216")</f>
        <v>A216</v>
      </c>
      <c r="D312" s="46" t="s">
        <v>2366</v>
      </c>
    </row>
    <row r="313" spans="1:4" x14ac:dyDescent="0.2">
      <c r="A313" s="178">
        <v>44307.462175925924</v>
      </c>
      <c r="B313" s="176" t="s">
        <v>1502</v>
      </c>
      <c r="C313" s="179" t="str">
        <f ca="1">HYPERLINK("#" &amp; CELL("address", Concepts!$A$224), "A217")</f>
        <v>A217</v>
      </c>
      <c r="D313" s="46" t="s">
        <v>2367</v>
      </c>
    </row>
    <row r="314" spans="1:4" x14ac:dyDescent="0.2">
      <c r="A314" s="178">
        <v>44307.469224537039</v>
      </c>
      <c r="B314" s="176" t="s">
        <v>1533</v>
      </c>
      <c r="C314" s="179" t="str">
        <f ca="1">HYPERLINK("#" &amp; CELL("address", 'V1.20+V1.20-F'!$A$48), "A50")</f>
        <v>A50</v>
      </c>
      <c r="D314" s="46" t="s">
        <v>2371</v>
      </c>
    </row>
    <row r="315" spans="1:4" x14ac:dyDescent="0.2">
      <c r="A315" s="178">
        <v>44307.469687500001</v>
      </c>
      <c r="B315" s="176" t="s">
        <v>1533</v>
      </c>
      <c r="C315" s="179" t="str">
        <f ca="1">HYPERLINK("#" &amp; CELL("address", 'V1.20+V1.20-F'!$A$38), "A38")</f>
        <v>A38</v>
      </c>
      <c r="D315" s="46" t="s">
        <v>2372</v>
      </c>
    </row>
    <row r="316" spans="1:4" x14ac:dyDescent="0.2">
      <c r="A316" s="178">
        <v>44307.47084490741</v>
      </c>
      <c r="B316" s="176" t="s">
        <v>1457</v>
      </c>
      <c r="C316" s="179" t="str">
        <f ca="1">HYPERLINK("#" &amp; CELL("address", 'V1.40'!$A$21), "A21")</f>
        <v>A21</v>
      </c>
      <c r="D316" s="46" t="s">
        <v>2372</v>
      </c>
    </row>
    <row r="317" spans="1:4" x14ac:dyDescent="0.2">
      <c r="A317" s="178">
        <v>44307.473043981481</v>
      </c>
      <c r="B317" s="176" t="s">
        <v>1534</v>
      </c>
      <c r="C317" s="179" t="str">
        <f ca="1">HYPERLINK("#" &amp; CELL("address", 'V1.50+V1.50-F'!$A$43), "A43")</f>
        <v>A43</v>
      </c>
      <c r="D317" s="46" t="s">
        <v>2373</v>
      </c>
    </row>
    <row r="318" spans="1:4" x14ac:dyDescent="0.2">
      <c r="A318" s="178">
        <v>44307.47378472222</v>
      </c>
      <c r="B318" s="176" t="s">
        <v>1462</v>
      </c>
      <c r="C318" s="179" t="str">
        <f ca="1">HYPERLINK("#" &amp; CELL("address", 'V1.90'!$A$16), "A16")</f>
        <v>A16</v>
      </c>
      <c r="D318" s="46" t="s">
        <v>2373</v>
      </c>
    </row>
    <row r="319" spans="1:4" x14ac:dyDescent="0.2">
      <c r="A319" s="178">
        <v>44307.474976851852</v>
      </c>
      <c r="B319" s="176" t="s">
        <v>1537</v>
      </c>
      <c r="C319" s="179" t="str">
        <f ca="1">HYPERLINK("#" &amp; CELL("address", 'V1.91+V1.91-F'!$A$42), "A39")</f>
        <v>A39</v>
      </c>
      <c r="D319" s="46" t="s">
        <v>2373</v>
      </c>
    </row>
    <row r="320" spans="1:4" x14ac:dyDescent="0.2">
      <c r="A320" s="178">
        <v>44307.475405092591</v>
      </c>
      <c r="B320" s="176" t="s">
        <v>1464</v>
      </c>
      <c r="C320" s="179" t="str">
        <f ca="1">HYPERLINK("#" &amp; CELL("address", 'V1.100'!$A$23), "A23")</f>
        <v>A23</v>
      </c>
      <c r="D320" s="46" t="s">
        <v>2373</v>
      </c>
    </row>
    <row r="321" spans="1:4" x14ac:dyDescent="0.2">
      <c r="A321" s="178">
        <v>44307.475636574076</v>
      </c>
      <c r="B321" s="176" t="s">
        <v>1538</v>
      </c>
      <c r="C321" s="179" t="str">
        <f ca="1">HYPERLINK("#" &amp; CELL("address", 'V1.110+V1.110-F'!$A$38), "A38")</f>
        <v>A38</v>
      </c>
      <c r="D321" s="46" t="s">
        <v>2373</v>
      </c>
    </row>
    <row r="322" spans="1:4" x14ac:dyDescent="0.2">
      <c r="A322" s="178">
        <v>44307.475949074076</v>
      </c>
      <c r="B322" s="176" t="s">
        <v>1471</v>
      </c>
      <c r="C322" s="179" t="str">
        <f ca="1">HYPERLINK("#" &amp; CELL("address", 'V1.222'!$A$31), "A29")</f>
        <v>A29</v>
      </c>
      <c r="D322" s="46" t="s">
        <v>2373</v>
      </c>
    </row>
    <row r="323" spans="1:4" x14ac:dyDescent="0.2">
      <c r="A323" s="178">
        <v>44307.47625</v>
      </c>
      <c r="B323" s="176" t="s">
        <v>1539</v>
      </c>
      <c r="C323" s="179" t="str">
        <f ca="1">HYPERLINK("#" &amp; CELL("address", 'V1.300-F'!$A$21), "A19")</f>
        <v>A19</v>
      </c>
      <c r="D323" s="46" t="s">
        <v>2373</v>
      </c>
    </row>
    <row r="324" spans="1:4" x14ac:dyDescent="0.2">
      <c r="A324" s="178">
        <v>44307.602916666663</v>
      </c>
      <c r="B324" s="176" t="s">
        <v>1533</v>
      </c>
      <c r="C324" s="179" t="str">
        <f ca="1">HYPERLINK("#" &amp; CELL("address", 'V1.20+V1.20-F'!$G$64), "G62")</f>
        <v>G62</v>
      </c>
      <c r="D324" s="46" t="s">
        <v>2385</v>
      </c>
    </row>
    <row r="325" spans="1:4" x14ac:dyDescent="0.2">
      <c r="A325" s="178">
        <v>44307.603518518517</v>
      </c>
      <c r="B325" s="176" t="s">
        <v>1502</v>
      </c>
      <c r="C325" s="179" t="str">
        <f ca="1">HYPERLINK("#" &amp; CELL("address", Concepts!$C$41), "C37")</f>
        <v>C37</v>
      </c>
      <c r="D325" s="46" t="s">
        <v>2382</v>
      </c>
    </row>
    <row r="326" spans="1:4" x14ac:dyDescent="0.2">
      <c r="A326" s="178">
        <v>44307.604212962964</v>
      </c>
      <c r="B326" s="176" t="s">
        <v>1771</v>
      </c>
      <c r="C326" s="179" t="str">
        <f ca="1">HYPERLINK("#" &amp; CELL("address", 'V1.30+V1.30-F'!$C$3), "C3")</f>
        <v>C3</v>
      </c>
      <c r="D326" s="46" t="s">
        <v>2384</v>
      </c>
    </row>
    <row r="327" spans="1:4" x14ac:dyDescent="0.2">
      <c r="A327" s="178">
        <v>44307.604467592595</v>
      </c>
      <c r="B327" s="176" t="s">
        <v>1097</v>
      </c>
      <c r="C327" s="179" t="str">
        <f ca="1">HYPERLINK("#" &amp; CELL("address", 'V1.31'!$C$3), "C3")</f>
        <v>C3</v>
      </c>
      <c r="D327" s="46" t="s">
        <v>2384</v>
      </c>
    </row>
    <row r="328" spans="1:4" x14ac:dyDescent="0.2">
      <c r="A328" s="178">
        <v>44307.628252314818</v>
      </c>
      <c r="B328" s="176" t="s">
        <v>1502</v>
      </c>
      <c r="C328" s="179" t="str">
        <f ca="1">HYPERLINK("#" &amp; CELL("address", Concepts!$C$17), "C14")</f>
        <v>C14</v>
      </c>
      <c r="D328" s="46" t="s">
        <v>2389</v>
      </c>
    </row>
    <row r="329" spans="1:4" x14ac:dyDescent="0.2">
      <c r="A329" s="178">
        <v>44307.628981481481</v>
      </c>
      <c r="B329" s="176" t="s">
        <v>1096</v>
      </c>
      <c r="C329" s="179" t="str">
        <f ca="1">HYPERLINK("#" &amp; CELL("address", 'V1.21'!$A$21), "A21")</f>
        <v>A21</v>
      </c>
      <c r="D329" s="46" t="s">
        <v>2390</v>
      </c>
    </row>
    <row r="330" spans="1:4" x14ac:dyDescent="0.2">
      <c r="A330" s="178">
        <v>44307.676226851851</v>
      </c>
      <c r="B330" s="176" t="s">
        <v>1469</v>
      </c>
      <c r="C330" s="179" t="str">
        <f ca="1">HYPERLINK("#" &amp; CELL("address", 'V1.220'!$A$20), "A20")</f>
        <v>A20</v>
      </c>
      <c r="D330" s="46" t="s">
        <v>2394</v>
      </c>
    </row>
    <row r="331" spans="1:4" x14ac:dyDescent="0.2">
      <c r="A331" s="178">
        <v>44308.446030092593</v>
      </c>
      <c r="B331" s="176" t="s">
        <v>1502</v>
      </c>
      <c r="C331" s="179" t="str">
        <f ca="1">HYPERLINK("#" &amp; CELL("address", Concepts!$A$88), "A82")</f>
        <v>A82</v>
      </c>
      <c r="D331" s="46" t="s">
        <v>2396</v>
      </c>
    </row>
    <row r="332" spans="1:4" x14ac:dyDescent="0.2">
      <c r="A332" s="178">
        <v>44308.447280092594</v>
      </c>
      <c r="B332" s="176" t="s">
        <v>1459</v>
      </c>
      <c r="C332" s="179" t="str">
        <f ca="1">HYPERLINK("#" &amp; CELL("address", 'V1.42'!$A$22), "A22")</f>
        <v>A22</v>
      </c>
      <c r="D332" s="46" t="s">
        <v>2397</v>
      </c>
    </row>
    <row r="333" spans="1:4" x14ac:dyDescent="0.2">
      <c r="A333" s="178">
        <v>44308.457569444443</v>
      </c>
      <c r="B333" s="176" t="s">
        <v>1502</v>
      </c>
      <c r="C333" s="179" t="str">
        <f ca="1">HYPERLINK("#" &amp; CELL("address", Concepts!$A$4), "A4")</f>
        <v>A4</v>
      </c>
      <c r="D333" s="46" t="s">
        <v>2401</v>
      </c>
    </row>
    <row r="334" spans="1:4" x14ac:dyDescent="0.2">
      <c r="A334" s="178">
        <v>44308.463645833333</v>
      </c>
      <c r="B334" s="176" t="s">
        <v>1533</v>
      </c>
      <c r="C334" s="179" t="str">
        <f ca="1">HYPERLINK("#" &amp; CELL("address", 'V1.20+V1.20-F'!$A$44), "A43")</f>
        <v>A43</v>
      </c>
      <c r="D334" s="46" t="s">
        <v>2369</v>
      </c>
    </row>
    <row r="335" spans="1:4" x14ac:dyDescent="0.2">
      <c r="A335" s="178">
        <v>44308.463645833333</v>
      </c>
      <c r="B335" s="176" t="s">
        <v>1533</v>
      </c>
      <c r="C335" s="179" t="str">
        <f ca="1">HYPERLINK("#" &amp; CELL("address", 'V1.20+V1.20-F'!$A$45), "A44")</f>
        <v>A44</v>
      </c>
      <c r="D335" s="46" t="s">
        <v>2369</v>
      </c>
    </row>
    <row r="336" spans="1:4" x14ac:dyDescent="0.2">
      <c r="A336" s="178">
        <v>44308.467187499999</v>
      </c>
      <c r="B336" s="176" t="s">
        <v>1502</v>
      </c>
      <c r="C336" s="179" t="str">
        <f ca="1">HYPERLINK("#" &amp; CELL("address", Concepts!$C$23), "C22")</f>
        <v>C22</v>
      </c>
      <c r="D336" s="46" t="s">
        <v>2402</v>
      </c>
    </row>
    <row r="337" spans="1:4" x14ac:dyDescent="0.2">
      <c r="A337" s="178">
        <v>44308.467187499999</v>
      </c>
      <c r="B337" s="176" t="s">
        <v>1502</v>
      </c>
      <c r="C337" s="179" t="str">
        <f ca="1">HYPERLINK("#" &amp; CELL("address", Concepts!$C$24), "C23")</f>
        <v>C23</v>
      </c>
      <c r="D337" s="46" t="s">
        <v>2402</v>
      </c>
    </row>
    <row r="338" spans="1:4" x14ac:dyDescent="0.2">
      <c r="A338" s="178">
        <v>44308.476134259261</v>
      </c>
      <c r="B338" s="176" t="s">
        <v>1539</v>
      </c>
      <c r="C338" s="179" t="str">
        <f ca="1">HYPERLINK("#" &amp; CELL("address", 'V1.300-F'!$C$3), "C3")</f>
        <v>C3</v>
      </c>
      <c r="D338" s="46" t="s">
        <v>2405</v>
      </c>
    </row>
    <row r="339" spans="1:4" x14ac:dyDescent="0.2">
      <c r="A339" s="178">
        <v>44308.481516203705</v>
      </c>
      <c r="B339" s="176" t="s">
        <v>1502</v>
      </c>
      <c r="C339" s="179" t="str">
        <f ca="1">HYPERLINK("#" &amp; CELL("address", Concepts!$D$216), "D211")</f>
        <v>D211</v>
      </c>
      <c r="D339" s="46" t="s">
        <v>2406</v>
      </c>
    </row>
    <row r="340" spans="1:4" x14ac:dyDescent="0.2">
      <c r="A340" s="178">
        <v>44308.481516203705</v>
      </c>
      <c r="B340" s="176" t="s">
        <v>1502</v>
      </c>
      <c r="C340" s="179" t="str">
        <f ca="1">HYPERLINK("#" &amp; CELL("address", Concepts!$D$217), "D212")</f>
        <v>D212</v>
      </c>
      <c r="D340" s="46" t="s">
        <v>2406</v>
      </c>
    </row>
    <row r="341" spans="1:4" ht="28.5" x14ac:dyDescent="0.2">
      <c r="A341" s="178">
        <v>44308.485648148147</v>
      </c>
      <c r="B341" s="176" t="s">
        <v>1502</v>
      </c>
      <c r="C341" s="179" t="str">
        <f ca="1">HYPERLINK("#" &amp; CELL("address", Concepts!$D$214), "D209")</f>
        <v>D209</v>
      </c>
      <c r="D341" s="46" t="s">
        <v>2407</v>
      </c>
    </row>
    <row r="342" spans="1:4" ht="28.5" x14ac:dyDescent="0.2">
      <c r="A342" s="178">
        <v>44308.485648148147</v>
      </c>
      <c r="B342" s="176" t="s">
        <v>1502</v>
      </c>
      <c r="C342" s="179" t="str">
        <f ca="1">HYPERLINK("#" &amp; CELL("address", Concepts!$D$215), "D210")</f>
        <v>D210</v>
      </c>
      <c r="D342" s="46" t="s">
        <v>2407</v>
      </c>
    </row>
    <row r="343" spans="1:4" ht="28.5" x14ac:dyDescent="0.2">
      <c r="A343" s="178">
        <v>44308.485659722224</v>
      </c>
      <c r="B343" s="176" t="s">
        <v>1502</v>
      </c>
      <c r="C343" s="179" t="str">
        <f ca="1">HYPERLINK("#" &amp; CELL("address", Concepts!$D$216), "D211")</f>
        <v>D211</v>
      </c>
      <c r="D343" s="46" t="s">
        <v>2407</v>
      </c>
    </row>
    <row r="344" spans="1:4" ht="28.5" x14ac:dyDescent="0.2">
      <c r="A344" s="178">
        <v>44308.485659722224</v>
      </c>
      <c r="B344" s="176" t="s">
        <v>1502</v>
      </c>
      <c r="C344" s="179" t="str">
        <f ca="1">HYPERLINK("#" &amp; CELL("address", Concepts!$D$217), "D212")</f>
        <v>D212</v>
      </c>
      <c r="D344" s="46" t="s">
        <v>2407</v>
      </c>
    </row>
    <row r="345" spans="1:4" ht="28.5" x14ac:dyDescent="0.2">
      <c r="A345" s="178">
        <v>44308.485659722224</v>
      </c>
      <c r="B345" s="176" t="s">
        <v>1502</v>
      </c>
      <c r="C345" s="179" t="str">
        <f ca="1">HYPERLINK("#" &amp; CELL("address", Concepts!$D$218), "D213")</f>
        <v>D213</v>
      </c>
      <c r="D345" s="46" t="s">
        <v>2407</v>
      </c>
    </row>
    <row r="346" spans="1:4" ht="28.5" x14ac:dyDescent="0.2">
      <c r="A346" s="178">
        <v>44308.485671296294</v>
      </c>
      <c r="B346" s="176" t="s">
        <v>1502</v>
      </c>
      <c r="C346" s="179" t="str">
        <f ca="1">HYPERLINK("#" &amp; CELL("address", Concepts!$D$219), "D214")</f>
        <v>D214</v>
      </c>
      <c r="D346" s="46" t="s">
        <v>2407</v>
      </c>
    </row>
    <row r="347" spans="1:4" x14ac:dyDescent="0.2">
      <c r="A347" s="178">
        <v>44308.500763888886</v>
      </c>
      <c r="B347" s="176" t="s">
        <v>1502</v>
      </c>
      <c r="C347" s="179" t="str">
        <f ca="1">HYPERLINK("#" &amp; CELL("address", Concepts!$A$225), "A220")</f>
        <v>A220</v>
      </c>
      <c r="D347" s="46" t="s">
        <v>2415</v>
      </c>
    </row>
    <row r="348" spans="1:4" x14ac:dyDescent="0.2">
      <c r="A348" s="178">
        <v>44308.50141203704</v>
      </c>
      <c r="B348" s="176" t="s">
        <v>1466</v>
      </c>
      <c r="C348" s="179" t="str">
        <f ca="1">HYPERLINK("#" &amp; CELL("address", 'V1.200'!$A$21), "A21")</f>
        <v>A21</v>
      </c>
      <c r="D348" s="46" t="s">
        <v>2416</v>
      </c>
    </row>
    <row r="349" spans="1:4" x14ac:dyDescent="0.2">
      <c r="A349" s="178">
        <v>44308.50141203704</v>
      </c>
      <c r="B349" s="176" t="s">
        <v>1466</v>
      </c>
      <c r="C349" s="179" t="str">
        <f ca="1">HYPERLINK("#" &amp; CELL("address", 'V1.200'!$A$22), "A22")</f>
        <v>A22</v>
      </c>
      <c r="D349" s="46" t="s">
        <v>2416</v>
      </c>
    </row>
    <row r="350" spans="1:4" x14ac:dyDescent="0.2">
      <c r="A350" s="178">
        <v>44308.50199074074</v>
      </c>
      <c r="B350" s="176" t="s">
        <v>1467</v>
      </c>
      <c r="C350" s="179" t="str">
        <f ca="1">HYPERLINK("#" &amp; CELL("address", 'V1.201'!$A$20), "A20")</f>
        <v>A20</v>
      </c>
      <c r="D350" s="46" t="s">
        <v>2417</v>
      </c>
    </row>
    <row r="351" spans="1:4" x14ac:dyDescent="0.2">
      <c r="A351" s="178">
        <v>44308.655856481484</v>
      </c>
      <c r="B351" s="176" t="s">
        <v>478</v>
      </c>
      <c r="C351" s="179" t="str">
        <f ca="1">HYPERLINK("#" &amp; CELL("address", INDEX!$A$54), "A54")</f>
        <v>A54</v>
      </c>
      <c r="D351" s="46" t="s">
        <v>2434</v>
      </c>
    </row>
    <row r="352" spans="1:4" x14ac:dyDescent="0.2">
      <c r="A352" s="178">
        <v>44308.656111111108</v>
      </c>
      <c r="B352" s="176" t="s">
        <v>2418</v>
      </c>
      <c r="C352" s="179" t="str">
        <f ca="1">HYPERLINK("#" &amp; CELL("address", 'Processing chain'!$A$1), "A1")</f>
        <v>A1</v>
      </c>
      <c r="D352" s="46" t="s">
        <v>2435</v>
      </c>
    </row>
    <row r="353" spans="1:4" x14ac:dyDescent="0.2">
      <c r="A353" s="178">
        <v>44308.674131944441</v>
      </c>
      <c r="B353" s="176" t="s">
        <v>1502</v>
      </c>
      <c r="C353" s="179" t="str">
        <f ca="1">HYPERLINK("#" &amp; CELL("address", Concepts!$A$87), "A84")</f>
        <v>A84</v>
      </c>
      <c r="D353" s="46" t="s">
        <v>2443</v>
      </c>
    </row>
    <row r="354" spans="1:4" ht="28.5" x14ac:dyDescent="0.2">
      <c r="A354" s="178">
        <v>44308.67491898148</v>
      </c>
      <c r="B354" s="176" t="s">
        <v>1458</v>
      </c>
      <c r="C354" s="179" t="str">
        <f ca="1">HYPERLINK("#" &amp; CELL("address", 'V1.41'!$A$21), "A21")</f>
        <v>A21</v>
      </c>
      <c r="D354" s="46" t="s">
        <v>2444</v>
      </c>
    </row>
    <row r="355" spans="1:4" x14ac:dyDescent="0.2">
      <c r="A355" s="178">
        <v>44308.677534722221</v>
      </c>
      <c r="B355" s="176" t="s">
        <v>906</v>
      </c>
      <c r="C355" s="179" t="str">
        <f ca="1">HYPERLINK("#" &amp; CELL("address", 'Customer category'!$A$4), "A4")</f>
        <v>A4</v>
      </c>
      <c r="D355" s="46" t="s">
        <v>2447</v>
      </c>
    </row>
    <row r="356" spans="1:4" x14ac:dyDescent="0.2">
      <c r="A356" s="178">
        <v>44308.677569444444</v>
      </c>
      <c r="B356" s="176" t="s">
        <v>906</v>
      </c>
      <c r="C356" s="179" t="str">
        <f ca="1">HYPERLINK("#" &amp; CELL("address", 'Customer category'!$A$3), "A3")</f>
        <v>A3</v>
      </c>
      <c r="D356" s="46" t="s">
        <v>1783</v>
      </c>
    </row>
    <row r="357" spans="1:4" ht="42.75" x14ac:dyDescent="0.2">
      <c r="A357" s="178">
        <v>44308.686712962961</v>
      </c>
      <c r="B357" s="176" t="s">
        <v>1534</v>
      </c>
      <c r="C357" s="179" t="str">
        <f ca="1">HYPERLINK("#" &amp; CELL("address", 'V1.50+V1.50-F'!$I$50), "I50")</f>
        <v>I50</v>
      </c>
      <c r="D357" s="46" t="s">
        <v>2448</v>
      </c>
    </row>
    <row r="358" spans="1:4" ht="42.75" x14ac:dyDescent="0.2">
      <c r="A358" s="178">
        <v>44308.686724537038</v>
      </c>
      <c r="B358" s="176" t="s">
        <v>1534</v>
      </c>
      <c r="C358" s="179" t="str">
        <f ca="1">HYPERLINK("#" &amp; CELL("address", 'V1.50+V1.50-F'!$I$66), "I66")</f>
        <v>I66</v>
      </c>
      <c r="D358" s="46" t="s">
        <v>2448</v>
      </c>
    </row>
    <row r="359" spans="1:4" ht="42.75" x14ac:dyDescent="0.2">
      <c r="A359" s="178">
        <v>44308.687141203707</v>
      </c>
      <c r="B359" s="176" t="s">
        <v>1534</v>
      </c>
      <c r="C359" s="179" t="str">
        <f ca="1">HYPERLINK("#" &amp; CELL("address", 'V1.50+V1.50-F'!$I$46), "I46")</f>
        <v>I46</v>
      </c>
      <c r="D359" s="46" t="s">
        <v>2449</v>
      </c>
    </row>
    <row r="360" spans="1:4" ht="42.75" x14ac:dyDescent="0.2">
      <c r="A360" s="178">
        <v>44308.687141203707</v>
      </c>
      <c r="B360" s="176" t="s">
        <v>1534</v>
      </c>
      <c r="C360" s="179" t="str">
        <f ca="1">HYPERLINK("#" &amp; CELL("address", 'V1.50+V1.50-F'!$I$58), "I58")</f>
        <v>I58</v>
      </c>
      <c r="D360" s="46" t="s">
        <v>2449</v>
      </c>
    </row>
    <row r="361" spans="1:4" ht="42.75" x14ac:dyDescent="0.2">
      <c r="A361" s="178">
        <v>44308.687141203707</v>
      </c>
      <c r="B361" s="176" t="s">
        <v>1534</v>
      </c>
      <c r="C361" s="179" t="str">
        <f ca="1">HYPERLINK("#" &amp; CELL("address", 'V1.50+V1.50-F'!$I$62), "I62")</f>
        <v>I62</v>
      </c>
      <c r="D361" s="46" t="s">
        <v>2449</v>
      </c>
    </row>
    <row r="362" spans="1:4" ht="42.75" x14ac:dyDescent="0.2">
      <c r="A362" s="178">
        <v>44308.687141203707</v>
      </c>
      <c r="B362" s="176" t="s">
        <v>1534</v>
      </c>
      <c r="C362" s="179" t="str">
        <f ca="1">HYPERLINK("#" &amp; CELL("address", 'V1.50+V1.50-F'!$I$74), "I74")</f>
        <v>I74</v>
      </c>
      <c r="D362" s="46" t="s">
        <v>2449</v>
      </c>
    </row>
    <row r="363" spans="1:4" ht="42.75" x14ac:dyDescent="0.2">
      <c r="A363" s="178">
        <v>44308.687141203707</v>
      </c>
      <c r="B363" s="176" t="s">
        <v>1534</v>
      </c>
      <c r="C363" s="179" t="str">
        <f ca="1">HYPERLINK("#" &amp; CELL("address", 'V1.50+V1.50-F'!$I$86), "I86")</f>
        <v>I86</v>
      </c>
      <c r="D363" s="46" t="s">
        <v>2449</v>
      </c>
    </row>
    <row r="364" spans="1:4" ht="28.5" x14ac:dyDescent="0.2">
      <c r="A364" s="178">
        <v>44309.57234953704</v>
      </c>
      <c r="B364" s="176" t="s">
        <v>1533</v>
      </c>
      <c r="C364" s="179" t="str">
        <f ca="1">HYPERLINK("#" &amp; CELL("address", 'V1.20+V1.20-F'!$A$43), "A43")</f>
        <v>A43</v>
      </c>
      <c r="D364" s="46" t="s">
        <v>2450</v>
      </c>
    </row>
    <row r="365" spans="1:4" x14ac:dyDescent="0.2">
      <c r="A365" s="178">
        <v>44309.574826388889</v>
      </c>
      <c r="B365" s="176" t="s">
        <v>1502</v>
      </c>
      <c r="C365" s="179" t="str">
        <f ca="1">HYPERLINK("#" &amp; CELL("address", Concepts!$A$11), "A10")</f>
        <v>A10</v>
      </c>
      <c r="D365" s="46" t="s">
        <v>2453</v>
      </c>
    </row>
    <row r="366" spans="1:4" x14ac:dyDescent="0.2">
      <c r="A366" s="178">
        <v>44309.579687500001</v>
      </c>
      <c r="B366" s="176" t="s">
        <v>1502</v>
      </c>
      <c r="C366" s="179" t="str">
        <f ca="1">HYPERLINK("#" &amp; CELL("address", Concepts!$A$202), "A198")</f>
        <v>A198</v>
      </c>
      <c r="D366" s="46" t="s">
        <v>2458</v>
      </c>
    </row>
    <row r="367" spans="1:4" ht="28.5" x14ac:dyDescent="0.2">
      <c r="A367" s="178">
        <v>44309.586597222224</v>
      </c>
      <c r="B367" s="176" t="s">
        <v>1502</v>
      </c>
      <c r="C367" s="179" t="str">
        <f ca="1">HYPERLINK("#" &amp; CELL("address", Concepts!$A$42), "A40")</f>
        <v>A40</v>
      </c>
      <c r="D367" s="46" t="s">
        <v>2459</v>
      </c>
    </row>
    <row r="368" spans="1:4" ht="28.5" x14ac:dyDescent="0.2">
      <c r="A368" s="178">
        <v>44309.59306712963</v>
      </c>
      <c r="B368" s="176" t="s">
        <v>1502</v>
      </c>
      <c r="C368" s="179" t="str">
        <f ca="1">HYPERLINK("#" &amp; CELL("address", Concepts!$D$20), "D19")</f>
        <v>D19</v>
      </c>
      <c r="D368" s="46" t="s">
        <v>2461</v>
      </c>
    </row>
    <row r="369" spans="1:4" ht="28.5" x14ac:dyDescent="0.2">
      <c r="A369" s="178">
        <v>44309.594722222224</v>
      </c>
      <c r="B369" s="176" t="s">
        <v>1502</v>
      </c>
      <c r="C369" s="179" t="str">
        <f ca="1">HYPERLINK("#" &amp; CELL("address", Concepts!$A$23), "A22")</f>
        <v>A22</v>
      </c>
      <c r="D369" s="46" t="s">
        <v>2462</v>
      </c>
    </row>
    <row r="370" spans="1:4" ht="28.5" x14ac:dyDescent="0.2">
      <c r="A370" s="178">
        <v>44309.594722222224</v>
      </c>
      <c r="B370" s="176" t="s">
        <v>1502</v>
      </c>
      <c r="C370" s="179" t="str">
        <f ca="1">HYPERLINK("#" &amp; CELL("address", Concepts!$A$24), "A23")</f>
        <v>A23</v>
      </c>
      <c r="D370" s="46" t="s">
        <v>2462</v>
      </c>
    </row>
    <row r="371" spans="1:4" ht="28.5" x14ac:dyDescent="0.2">
      <c r="A371" s="178">
        <v>44309.598900462966</v>
      </c>
      <c r="B371" s="176" t="s">
        <v>1502</v>
      </c>
      <c r="C371" s="179" t="str">
        <f ca="1">HYPERLINK("#" &amp; CELL("address", Concepts!$A$36), "A35")</f>
        <v>A35</v>
      </c>
      <c r="D371" s="46" t="s">
        <v>2465</v>
      </c>
    </row>
    <row r="372" spans="1:4" ht="28.5" x14ac:dyDescent="0.2">
      <c r="A372" s="178">
        <v>44309.636643518519</v>
      </c>
      <c r="B372" s="176" t="s">
        <v>1502</v>
      </c>
      <c r="C372" s="179" t="str">
        <f ca="1">HYPERLINK("#" &amp; CELL("address", Concepts!$C$33), "C32")</f>
        <v>C32</v>
      </c>
      <c r="D372" s="46" t="s">
        <v>2467</v>
      </c>
    </row>
    <row r="373" spans="1:4" x14ac:dyDescent="0.2">
      <c r="A373" s="178">
        <v>44309.642118055555</v>
      </c>
      <c r="B373" s="176" t="s">
        <v>1771</v>
      </c>
      <c r="C373" s="179" t="str">
        <f ca="1">HYPERLINK("#" &amp; CELL("address", 'V1.30+V1.30-F'!$A$39), "A39")</f>
        <v>A39</v>
      </c>
      <c r="D373" s="46" t="s">
        <v>2469</v>
      </c>
    </row>
    <row r="374" spans="1:4" x14ac:dyDescent="0.2">
      <c r="A374" s="178">
        <v>44309.64340277778</v>
      </c>
      <c r="B374" s="176" t="s">
        <v>1771</v>
      </c>
      <c r="C374" s="179" t="str">
        <f ca="1">HYPERLINK("#" &amp; CELL("address", 'V1.30+V1.30-F'!$A$40), "A40")</f>
        <v>A40</v>
      </c>
      <c r="D374" s="46" t="s">
        <v>2471</v>
      </c>
    </row>
    <row r="375" spans="1:4" x14ac:dyDescent="0.2">
      <c r="A375" s="178">
        <v>44309.645810185182</v>
      </c>
      <c r="B375" s="176" t="s">
        <v>1458</v>
      </c>
      <c r="C375" s="179" t="str">
        <f ca="1">HYPERLINK("#" &amp; CELL("address", 'V1.41'!$A$24), "A24")</f>
        <v>A24</v>
      </c>
      <c r="D375" s="46" t="s">
        <v>2472</v>
      </c>
    </row>
    <row r="376" spans="1:4" x14ac:dyDescent="0.2">
      <c r="A376" s="178">
        <v>44309.656180555554</v>
      </c>
      <c r="B376" s="176" t="s">
        <v>1502</v>
      </c>
      <c r="C376" s="179" t="str">
        <f ca="1">HYPERLINK("#" &amp; CELL("address", Concepts!$C$88), "C85")</f>
        <v>C85</v>
      </c>
      <c r="D376" s="46" t="s">
        <v>2474</v>
      </c>
    </row>
    <row r="377" spans="1:4" x14ac:dyDescent="0.2">
      <c r="A377" s="178">
        <v>44309.663530092592</v>
      </c>
      <c r="B377" s="176" t="s">
        <v>478</v>
      </c>
      <c r="C377" s="179" t="str">
        <f ca="1">HYPERLINK("#" &amp; CELL("address", INDEX!$A$2), "A2")</f>
        <v>A2</v>
      </c>
      <c r="D377" s="46" t="s">
        <v>2475</v>
      </c>
    </row>
    <row r="378" spans="1:4" x14ac:dyDescent="0.2">
      <c r="A378" s="178">
        <v>44309.667905092596</v>
      </c>
      <c r="B378" s="176" t="s">
        <v>1502</v>
      </c>
      <c r="C378" s="179" t="str">
        <f ca="1">HYPERLINK("#" &amp; CELL("address", Concepts!$D$109), "D106")</f>
        <v>D106</v>
      </c>
      <c r="D378" s="46" t="s">
        <v>2476</v>
      </c>
    </row>
    <row r="379" spans="1:4" x14ac:dyDescent="0.2">
      <c r="A379" s="178">
        <v>44309.687280092592</v>
      </c>
      <c r="B379" s="176" t="s">
        <v>1537</v>
      </c>
      <c r="C379" s="179" t="str">
        <f ca="1">HYPERLINK("#" &amp; CELL("address", 'V1.91+V1.91-F'!$A$39), "A39")</f>
        <v>A39</v>
      </c>
      <c r="D379" s="46" t="s">
        <v>2478</v>
      </c>
    </row>
    <row r="380" spans="1:4" x14ac:dyDescent="0.2">
      <c r="A380" s="178">
        <v>44312.386296296296</v>
      </c>
      <c r="B380" s="176" t="s">
        <v>1502</v>
      </c>
      <c r="C380" s="179" t="str">
        <f ca="1">HYPERLINK("#" &amp; CELL("address", Concepts!$D$201), "D197")</f>
        <v>D197</v>
      </c>
      <c r="D380" s="46" t="s">
        <v>2480</v>
      </c>
    </row>
    <row r="381" spans="1:4" x14ac:dyDescent="0.2">
      <c r="A381" s="178">
        <v>44312.386400462965</v>
      </c>
      <c r="B381" s="176" t="s">
        <v>1502</v>
      </c>
      <c r="C381" s="179" t="str">
        <f ca="1">HYPERLINK("#" &amp; CELL("address", Concepts!$C$201), "C197")</f>
        <v>C197</v>
      </c>
      <c r="D381" s="46" t="s">
        <v>2481</v>
      </c>
    </row>
    <row r="382" spans="1:4" x14ac:dyDescent="0.2">
      <c r="A382" s="178">
        <v>44312.3909375</v>
      </c>
      <c r="B382" s="176" t="s">
        <v>1502</v>
      </c>
      <c r="C382" s="179" t="str">
        <f ca="1">HYPERLINK("#" &amp; CELL("address", Concepts!$A$177), "A173")</f>
        <v>A173</v>
      </c>
      <c r="D382" s="46" t="s">
        <v>2482</v>
      </c>
    </row>
    <row r="383" spans="1:4" x14ac:dyDescent="0.2">
      <c r="A383" s="178">
        <v>44312.392905092594</v>
      </c>
      <c r="B383" s="176" t="s">
        <v>1502</v>
      </c>
      <c r="C383" s="179" t="str">
        <f ca="1">HYPERLINK("#" &amp; CELL("address", Concepts!$A$176), "A173")</f>
        <v>A173</v>
      </c>
      <c r="D383" s="46" t="s">
        <v>2486</v>
      </c>
    </row>
    <row r="384" spans="1:4" x14ac:dyDescent="0.2">
      <c r="A384" s="178">
        <v>44312.394849537035</v>
      </c>
      <c r="B384" s="176" t="s">
        <v>1538</v>
      </c>
      <c r="C384" s="179" t="str">
        <f ca="1">HYPERLINK("#" &amp; CELL("address", 'V1.110+V1.110-F'!$A$32), "A32")</f>
        <v>A32</v>
      </c>
      <c r="D384" s="46" t="s">
        <v>2487</v>
      </c>
    </row>
    <row r="385" spans="1:4" x14ac:dyDescent="0.2">
      <c r="A385" s="178">
        <v>44312.394861111112</v>
      </c>
      <c r="B385" s="176" t="s">
        <v>1538</v>
      </c>
      <c r="C385" s="179" t="str">
        <f ca="1">HYPERLINK("#" &amp; CELL("address", 'V1.110+V1.110-F'!$A$33), "A33")</f>
        <v>A33</v>
      </c>
      <c r="D385" s="46" t="s">
        <v>2487</v>
      </c>
    </row>
    <row r="386" spans="1:4" x14ac:dyDescent="0.2">
      <c r="A386" s="178">
        <v>44312.40042824074</v>
      </c>
      <c r="B386" s="176" t="s">
        <v>1466</v>
      </c>
      <c r="C386" s="179" t="str">
        <f ca="1">HYPERLINK("#" &amp; CELL("address", 'V1.200'!$A$19), "A19")</f>
        <v>A19</v>
      </c>
      <c r="D386" s="46" t="s">
        <v>2489</v>
      </c>
    </row>
    <row r="387" spans="1:4" ht="28.5" x14ac:dyDescent="0.2">
      <c r="A387" s="178">
        <v>44312.402511574073</v>
      </c>
      <c r="B387" s="176" t="s">
        <v>1466</v>
      </c>
      <c r="C387" s="179" t="str">
        <f ca="1">HYPERLINK("#" &amp; CELL("address", 'V1.200'!$F$4), "F4")</f>
        <v>F4</v>
      </c>
      <c r="D387" s="46" t="s">
        <v>2492</v>
      </c>
    </row>
    <row r="388" spans="1:4" ht="28.5" x14ac:dyDescent="0.2">
      <c r="A388" s="178">
        <v>44312.402604166666</v>
      </c>
      <c r="B388" s="176" t="s">
        <v>1466</v>
      </c>
      <c r="C388" s="179" t="str">
        <f ca="1">HYPERLINK("#" &amp; CELL("address", 'V1.200'!$F$5), "F5")</f>
        <v>F5</v>
      </c>
      <c r="D388" s="46" t="s">
        <v>2492</v>
      </c>
    </row>
    <row r="389" spans="1:4" ht="28.5" x14ac:dyDescent="0.2">
      <c r="A389" s="178">
        <v>44312.404039351852</v>
      </c>
      <c r="B389" s="176" t="s">
        <v>1467</v>
      </c>
      <c r="C389" s="179" t="str">
        <f ca="1">HYPERLINK("#" &amp; CELL("address", 'V1.201'!$F$4), "F4")</f>
        <v>F4</v>
      </c>
      <c r="D389" s="46" t="s">
        <v>2492</v>
      </c>
    </row>
    <row r="390" spans="1:4" ht="28.5" x14ac:dyDescent="0.2">
      <c r="A390" s="178">
        <v>44312.404039351852</v>
      </c>
      <c r="B390" s="176" t="s">
        <v>1467</v>
      </c>
      <c r="C390" s="179" t="str">
        <f ca="1">HYPERLINK("#" &amp; CELL("address", 'V1.201'!$F$5), "F5")</f>
        <v>F5</v>
      </c>
      <c r="D390" s="46" t="s">
        <v>2492</v>
      </c>
    </row>
    <row r="391" spans="1:4" x14ac:dyDescent="0.2">
      <c r="A391" s="178">
        <v>44312.410381944443</v>
      </c>
      <c r="B391" s="176" t="s">
        <v>1466</v>
      </c>
      <c r="C391" s="179" t="str">
        <f ca="1">HYPERLINK("#" &amp; CELL("address", 'V1.200'!$A$23), "A23")</f>
        <v>A23</v>
      </c>
      <c r="D391" s="46" t="s">
        <v>2494</v>
      </c>
    </row>
    <row r="392" spans="1:4" x14ac:dyDescent="0.2">
      <c r="A392" s="178">
        <v>44312.410439814812</v>
      </c>
      <c r="B392" s="176" t="s">
        <v>1467</v>
      </c>
      <c r="C392" s="179" t="str">
        <f ca="1">HYPERLINK("#" &amp; CELL("address", 'V1.201'!$A$24), "A24")</f>
        <v>A24</v>
      </c>
      <c r="D392" s="46" t="s">
        <v>2494</v>
      </c>
    </row>
    <row r="393" spans="1:4" x14ac:dyDescent="0.2">
      <c r="A393" s="178">
        <v>44314.495636574073</v>
      </c>
      <c r="B393" s="176" t="s">
        <v>1535</v>
      </c>
      <c r="C393" s="179" t="str">
        <f ca="1">HYPERLINK("#" &amp; CELL("address", 'V1.52+V1.52-F'!$A$39), "A39")</f>
        <v>A39</v>
      </c>
      <c r="D393" s="46" t="s">
        <v>2495</v>
      </c>
    </row>
    <row r="394" spans="1:4" x14ac:dyDescent="0.2">
      <c r="A394" s="178">
        <v>44314.498761574076</v>
      </c>
      <c r="B394" s="176" t="s">
        <v>1502</v>
      </c>
      <c r="C394" s="179" t="str">
        <f ca="1">HYPERLINK("#" &amp; CELL("address", Concepts!$A$20), "A19")</f>
        <v>A19</v>
      </c>
      <c r="D394" s="46" t="s">
        <v>2497</v>
      </c>
    </row>
    <row r="395" spans="1:4" x14ac:dyDescent="0.2">
      <c r="A395" s="178">
        <v>44314.49931712963</v>
      </c>
      <c r="B395" s="176" t="s">
        <v>1502</v>
      </c>
      <c r="C395" s="179" t="str">
        <f ca="1">HYPERLINK("#" &amp; CELL("address", Concepts!$D$95), "D92")</f>
        <v>D92</v>
      </c>
      <c r="D395" s="46" t="s">
        <v>2499</v>
      </c>
    </row>
    <row r="396" spans="1:4" x14ac:dyDescent="0.2">
      <c r="A396" s="178">
        <v>44314.514143518521</v>
      </c>
      <c r="B396" s="176" t="s">
        <v>1502</v>
      </c>
      <c r="C396" s="179" t="str">
        <f ca="1">HYPERLINK("#" &amp; CELL("address", Concepts!$C$89), "C86")</f>
        <v>C86</v>
      </c>
      <c r="D396" s="46" t="s">
        <v>2502</v>
      </c>
    </row>
    <row r="397" spans="1:4" x14ac:dyDescent="0.2">
      <c r="A397" s="178">
        <v>44314.514155092591</v>
      </c>
      <c r="B397" s="176" t="s">
        <v>1502</v>
      </c>
      <c r="C397" s="179" t="str">
        <f ca="1">HYPERLINK("#" &amp; CELL("address", Concepts!$C$91), "C88")</f>
        <v>C88</v>
      </c>
      <c r="D397" s="46" t="s">
        <v>2502</v>
      </c>
    </row>
    <row r="398" spans="1:4" x14ac:dyDescent="0.2">
      <c r="A398" s="178">
        <v>44314.518599537034</v>
      </c>
      <c r="B398" s="176" t="s">
        <v>1502</v>
      </c>
      <c r="C398" s="179" t="str">
        <f ca="1">HYPERLINK("#" &amp; CELL("address", Concepts!$D$136), "D133")</f>
        <v>D133</v>
      </c>
      <c r="D398" s="46" t="s">
        <v>2504</v>
      </c>
    </row>
    <row r="399" spans="1:4" x14ac:dyDescent="0.2">
      <c r="A399" s="178">
        <v>44314.519814814812</v>
      </c>
      <c r="B399" s="176" t="s">
        <v>1502</v>
      </c>
      <c r="C399" s="179" t="str">
        <f ca="1">HYPERLINK("#" &amp; CELL("address", Concepts!$D$174), "D171")</f>
        <v>D171</v>
      </c>
      <c r="D399" s="46" t="s">
        <v>2506</v>
      </c>
    </row>
    <row r="400" spans="1:4" x14ac:dyDescent="0.2">
      <c r="A400" s="178">
        <v>44314.521226851852</v>
      </c>
      <c r="B400" s="176" t="s">
        <v>483</v>
      </c>
      <c r="C400" s="179" t="str">
        <f ca="1">HYPERLINK("#" &amp; CELL("address", Introduction!$B$57), "B55")</f>
        <v>B55</v>
      </c>
      <c r="D400" s="46" t="s">
        <v>2508</v>
      </c>
    </row>
    <row r="401" spans="1:4" ht="28.5" x14ac:dyDescent="0.2">
      <c r="A401" s="178">
        <v>44314.525578703702</v>
      </c>
      <c r="B401" s="176" t="s">
        <v>483</v>
      </c>
      <c r="C401" s="179" t="str">
        <f ca="1">HYPERLINK("#" &amp; CELL("address", Introduction!$B$49), "B13")</f>
        <v>B13</v>
      </c>
      <c r="D401" s="46" t="s">
        <v>2510</v>
      </c>
    </row>
    <row r="402" spans="1:4" x14ac:dyDescent="0.2">
      <c r="A402" s="178">
        <v>44314.53329861111</v>
      </c>
      <c r="B402" s="176" t="s">
        <v>1502</v>
      </c>
      <c r="C402" s="179" t="str">
        <f ca="1">HYPERLINK("#" &amp; CELL("address", Concepts!$A$6), "A6")</f>
        <v>A6</v>
      </c>
      <c r="D402" s="46" t="s">
        <v>2513</v>
      </c>
    </row>
    <row r="403" spans="1:4" x14ac:dyDescent="0.2">
      <c r="A403" s="178">
        <v>44314.534189814818</v>
      </c>
      <c r="B403" s="176" t="s">
        <v>1533</v>
      </c>
      <c r="C403" s="179" t="str">
        <f ca="1">HYPERLINK("#" &amp; CELL("address", 'V1.20+V1.20-F'!$A$4), "A4")</f>
        <v>A4</v>
      </c>
      <c r="D403" s="46" t="s">
        <v>2514</v>
      </c>
    </row>
    <row r="404" spans="1:4" x14ac:dyDescent="0.2">
      <c r="A404" s="178">
        <v>44314.534456018519</v>
      </c>
      <c r="B404" s="176" t="s">
        <v>1096</v>
      </c>
      <c r="C404" s="179" t="str">
        <f ca="1">HYPERLINK("#" &amp; CELL("address", 'V1.21'!$A$4), "A4")</f>
        <v>A4</v>
      </c>
      <c r="D404" s="46" t="s">
        <v>2514</v>
      </c>
    </row>
    <row r="405" spans="1:4" x14ac:dyDescent="0.2">
      <c r="A405" s="178">
        <v>44314.534594907411</v>
      </c>
      <c r="B405" s="176" t="s">
        <v>1771</v>
      </c>
      <c r="C405" s="179" t="str">
        <f ca="1">HYPERLINK("#" &amp; CELL("address", 'V1.30+V1.30-F'!$A$4), "A4")</f>
        <v>A4</v>
      </c>
      <c r="D405" s="46" t="s">
        <v>2514</v>
      </c>
    </row>
    <row r="406" spans="1:4" x14ac:dyDescent="0.2">
      <c r="A406" s="178">
        <v>44314.534733796296</v>
      </c>
      <c r="B406" s="176" t="s">
        <v>1097</v>
      </c>
      <c r="C406" s="179" t="str">
        <f ca="1">HYPERLINK("#" &amp; CELL("address", 'V1.31'!$A$4), "A4")</f>
        <v>A4</v>
      </c>
      <c r="D406" s="46" t="s">
        <v>2514</v>
      </c>
    </row>
    <row r="407" spans="1:4" x14ac:dyDescent="0.2">
      <c r="A407" s="178">
        <v>44314.534884259258</v>
      </c>
      <c r="B407" s="176" t="s">
        <v>1457</v>
      </c>
      <c r="C407" s="179" t="str">
        <f ca="1">HYPERLINK("#" &amp; CELL("address", 'V1.40'!$E$4), "E4")</f>
        <v>E4</v>
      </c>
      <c r="D407" s="46" t="s">
        <v>2514</v>
      </c>
    </row>
    <row r="408" spans="1:4" x14ac:dyDescent="0.2">
      <c r="A408" s="178">
        <v>44314.535196759258</v>
      </c>
      <c r="B408" s="176" t="s">
        <v>1461</v>
      </c>
      <c r="C408" s="179" t="str">
        <f ca="1">HYPERLINK("#" &amp; CELL("address", 'V1.80'!$C$4), "C4")</f>
        <v>C4</v>
      </c>
      <c r="D408" s="46" t="s">
        <v>2514</v>
      </c>
    </row>
    <row r="409" spans="1:4" x14ac:dyDescent="0.2">
      <c r="A409" s="178">
        <v>44314.535451388889</v>
      </c>
      <c r="B409" s="176" t="s">
        <v>1469</v>
      </c>
      <c r="C409" s="179" t="str">
        <f ca="1">HYPERLINK("#" &amp; CELL("address", 'V1.220'!$C$4), "C4")</f>
        <v>C4</v>
      </c>
      <c r="D409" s="46" t="s">
        <v>2514</v>
      </c>
    </row>
    <row r="410" spans="1:4" x14ac:dyDescent="0.2">
      <c r="A410" s="178">
        <v>44314.588888888888</v>
      </c>
      <c r="B410" s="176" t="s">
        <v>1533</v>
      </c>
      <c r="C410" s="179" t="str">
        <f ca="1">HYPERLINK("#" &amp; CELL("address", 'V1.20+V1.20-F'!$A$40), "A40")</f>
        <v>A40</v>
      </c>
      <c r="D410" s="46" t="s">
        <v>2515</v>
      </c>
    </row>
    <row r="411" spans="1:4" x14ac:dyDescent="0.2">
      <c r="A411" s="178">
        <v>44314.589687500003</v>
      </c>
      <c r="B411" s="176" t="s">
        <v>1533</v>
      </c>
      <c r="C411" s="179" t="str">
        <f ca="1">HYPERLINK("#" &amp; CELL("address", 'V1.20+V1.20-F'!$A$40), "A40")</f>
        <v>A40</v>
      </c>
      <c r="D411" s="46" t="s">
        <v>2516</v>
      </c>
    </row>
    <row r="412" spans="1:4" ht="28.5" x14ac:dyDescent="0.2">
      <c r="A412" s="178">
        <v>44314.592581018522</v>
      </c>
      <c r="B412" s="176" t="s">
        <v>1533</v>
      </c>
      <c r="C412" s="179" t="str">
        <f ca="1">HYPERLINK("#" &amp; CELL("address", 'V1.20+V1.20-F'!$A$48), "A47")</f>
        <v>A47</v>
      </c>
      <c r="D412" s="46" t="s">
        <v>2517</v>
      </c>
    </row>
    <row r="413" spans="1:4" x14ac:dyDescent="0.2">
      <c r="A413" s="178">
        <v>44314.605254629627</v>
      </c>
      <c r="B413" s="176" t="s">
        <v>1533</v>
      </c>
      <c r="C413" s="179" t="str">
        <f ca="1">HYPERLINK("#" &amp; CELL("address", 'V1.20+V1.20-F'!$A$82), "A85")</f>
        <v>A85</v>
      </c>
      <c r="D413" s="46" t="s">
        <v>2524</v>
      </c>
    </row>
    <row r="414" spans="1:4" x14ac:dyDescent="0.2">
      <c r="A414" s="178">
        <v>44314.60728009259</v>
      </c>
      <c r="B414" s="176" t="s">
        <v>1502</v>
      </c>
      <c r="C414" s="179" t="str">
        <f ca="1">HYPERLINK("#" &amp; CELL("address", Concepts!$A$57), "A56")</f>
        <v>A56</v>
      </c>
      <c r="D414" s="46" t="s">
        <v>2525</v>
      </c>
    </row>
    <row r="415" spans="1:4" x14ac:dyDescent="0.2">
      <c r="A415" s="178">
        <v>44314.610162037039</v>
      </c>
      <c r="B415" s="176" t="s">
        <v>1533</v>
      </c>
      <c r="C415" s="179" t="str">
        <f ca="1">HYPERLINK("#" &amp; CELL("address", 'V1.20+V1.20-F'!$M$17), "M17")</f>
        <v>M17</v>
      </c>
      <c r="D415" s="46" t="s">
        <v>2527</v>
      </c>
    </row>
    <row r="416" spans="1:4" x14ac:dyDescent="0.2">
      <c r="A416" s="178">
        <v>44314.610312500001</v>
      </c>
      <c r="B416" s="176" t="s">
        <v>1534</v>
      </c>
      <c r="C416" s="179" t="str">
        <f ca="1">HYPERLINK("#" &amp; CELL("address", 'V1.50+V1.50-F'!$M$18), "M18")</f>
        <v>M18</v>
      </c>
      <c r="D416" s="46" t="s">
        <v>2527</v>
      </c>
    </row>
    <row r="417" spans="1:4" x14ac:dyDescent="0.2">
      <c r="A417" s="178">
        <v>44314.610405092593</v>
      </c>
      <c r="B417" s="176" t="s">
        <v>1535</v>
      </c>
      <c r="C417" s="179" t="str">
        <f ca="1">HYPERLINK("#" &amp; CELL("address", 'V1.52+V1.52-F'!$M$16), "M16")</f>
        <v>M16</v>
      </c>
      <c r="D417" s="46" t="s">
        <v>2527</v>
      </c>
    </row>
    <row r="418" spans="1:4" x14ac:dyDescent="0.2">
      <c r="A418" s="178">
        <v>44314.611909722225</v>
      </c>
      <c r="B418" s="176" t="s">
        <v>1466</v>
      </c>
      <c r="C418" s="179" t="str">
        <f ca="1">HYPERLINK("#" &amp; CELL("address", 'V1.200'!$A$2), "A2")</f>
        <v>A2</v>
      </c>
      <c r="D418" s="46" t="s">
        <v>2528</v>
      </c>
    </row>
    <row r="419" spans="1:4" x14ac:dyDescent="0.2">
      <c r="A419" s="178">
        <v>44314.612002314818</v>
      </c>
      <c r="B419" s="176" t="s">
        <v>1467</v>
      </c>
      <c r="C419" s="179" t="str">
        <f ca="1">HYPERLINK("#" &amp; CELL("address", 'V1.201'!$A$2), "A2")</f>
        <v>A2</v>
      </c>
      <c r="D419" s="46" t="s">
        <v>2528</v>
      </c>
    </row>
    <row r="420" spans="1:4" ht="28.5" x14ac:dyDescent="0.2">
      <c r="A420" s="178">
        <v>44314.614270833335</v>
      </c>
      <c r="B420" s="176" t="s">
        <v>1470</v>
      </c>
      <c r="C420" s="179" t="str">
        <f ca="1">HYPERLINK("#" &amp; CELL("address", 'V1.221'!$E$3), "E3")</f>
        <v>E3</v>
      </c>
      <c r="D420" s="46" t="s">
        <v>2534</v>
      </c>
    </row>
    <row r="421" spans="1:4" ht="28.5" x14ac:dyDescent="0.2">
      <c r="A421" s="178">
        <v>44314.614988425928</v>
      </c>
      <c r="B421" s="176" t="s">
        <v>1502</v>
      </c>
      <c r="C421" s="179" t="str">
        <f ca="1">HYPERLINK("#" &amp; CELL("address", Concepts!$A$204), "A203")</f>
        <v>A203</v>
      </c>
      <c r="D421" s="46" t="s">
        <v>2535</v>
      </c>
    </row>
    <row r="422" spans="1:4" ht="28.5" x14ac:dyDescent="0.2">
      <c r="A422" s="178">
        <v>44314.614988425928</v>
      </c>
      <c r="B422" s="176" t="s">
        <v>1502</v>
      </c>
      <c r="C422" s="179" t="str">
        <f ca="1">HYPERLINK("#" &amp; CELL("address", Concepts!$A$205), "A204")</f>
        <v>A204</v>
      </c>
      <c r="D422" s="46" t="s">
        <v>2535</v>
      </c>
    </row>
    <row r="423" spans="1:4" x14ac:dyDescent="0.2">
      <c r="A423" s="178">
        <v>44314.617893518516</v>
      </c>
      <c r="B423" s="176" t="s">
        <v>1534</v>
      </c>
      <c r="C423" s="179" t="str">
        <f ca="1">HYPERLINK("#" &amp; CELL("address", 'V1.50+V1.50-F'!$A$43), "A43")</f>
        <v>A43</v>
      </c>
      <c r="D423" s="46" t="s">
        <v>2548</v>
      </c>
    </row>
    <row r="424" spans="1:4" x14ac:dyDescent="0.2">
      <c r="A424" s="178">
        <v>44314.619328703702</v>
      </c>
      <c r="B424" s="176" t="s">
        <v>1462</v>
      </c>
      <c r="C424" s="179" t="str">
        <f ca="1">HYPERLINK("#" &amp; CELL("address", 'V1.90'!$A$16), "A16")</f>
        <v>A16</v>
      </c>
      <c r="D424" s="46" t="s">
        <v>2548</v>
      </c>
    </row>
    <row r="425" spans="1:4" x14ac:dyDescent="0.2">
      <c r="A425" s="178">
        <v>44314.627418981479</v>
      </c>
      <c r="B425" s="176" t="s">
        <v>1099</v>
      </c>
      <c r="C425" s="179" t="str">
        <f ca="1">HYPERLINK("#" &amp; CELL("address", 'V1.51'!$E$4), "E4")</f>
        <v>E4</v>
      </c>
      <c r="D425" s="46" t="s">
        <v>2559</v>
      </c>
    </row>
    <row r="426" spans="1:4" x14ac:dyDescent="0.2">
      <c r="A426" s="178">
        <v>44314.627638888887</v>
      </c>
      <c r="B426" s="176" t="s">
        <v>1502</v>
      </c>
      <c r="C426" s="179" t="str">
        <f ca="1">HYPERLINK("#" &amp; CELL("address", Concepts!$A$130), "A129")</f>
        <v>A129</v>
      </c>
      <c r="D426" s="46" t="s">
        <v>2559</v>
      </c>
    </row>
    <row r="427" spans="1:4" x14ac:dyDescent="0.2">
      <c r="A427" s="178">
        <v>44314.632361111115</v>
      </c>
      <c r="B427" s="176" t="s">
        <v>2418</v>
      </c>
      <c r="C427" s="179" t="str">
        <f ca="1">HYPERLINK("#" &amp; CELL("address", 'Processing chain'!$B$25), "B25")</f>
        <v>B25</v>
      </c>
      <c r="D427" s="46" t="s">
        <v>2564</v>
      </c>
    </row>
    <row r="428" spans="1:4" x14ac:dyDescent="0.2">
      <c r="A428" s="178">
        <v>44314.670717592591</v>
      </c>
      <c r="B428" s="176" t="s">
        <v>1464</v>
      </c>
      <c r="C428" s="179" t="str">
        <f ca="1">HYPERLINK("#" &amp; CELL("address", 'V1.100'!$A$40), "A40")</f>
        <v>A40</v>
      </c>
      <c r="D428" s="46" t="s">
        <v>2571</v>
      </c>
    </row>
    <row r="429" spans="1:4" x14ac:dyDescent="0.2">
      <c r="A429" s="178">
        <v>44314.679583333331</v>
      </c>
      <c r="B429" s="176" t="s">
        <v>483</v>
      </c>
      <c r="C429" s="179" t="str">
        <f ca="1">HYPERLINK("#" &amp; CELL("address", Introduction!$B$54), "B54")</f>
        <v>B54</v>
      </c>
      <c r="D429" s="46" t="s">
        <v>2573</v>
      </c>
    </row>
    <row r="430" spans="1:4" ht="28.5" x14ac:dyDescent="0.2">
      <c r="A430" s="178">
        <v>44315.463912037034</v>
      </c>
      <c r="B430" s="176" t="s">
        <v>1502</v>
      </c>
      <c r="C430" s="179" t="str">
        <f ca="1">HYPERLINK("#" &amp; CELL("address", Concepts!$D$202), "D201")</f>
        <v>D201</v>
      </c>
      <c r="D430" s="46" t="s">
        <v>2576</v>
      </c>
    </row>
    <row r="431" spans="1:4" x14ac:dyDescent="0.2">
      <c r="A431" s="178">
        <v>44315.469837962963</v>
      </c>
      <c r="B431" s="176" t="s">
        <v>1533</v>
      </c>
      <c r="C431" s="179" t="str">
        <f ca="1">HYPERLINK("#" &amp; CELL("address", 'V1.20+V1.20-F'!$A$46), "A46")</f>
        <v>A46</v>
      </c>
      <c r="D431" s="46" t="s">
        <v>2577</v>
      </c>
    </row>
    <row r="432" spans="1:4" x14ac:dyDescent="0.2">
      <c r="A432" s="178">
        <v>44315.472407407404</v>
      </c>
      <c r="B432" s="176" t="s">
        <v>1533</v>
      </c>
      <c r="C432" s="179" t="str">
        <f ca="1">HYPERLINK("#" &amp; CELL("address", 'V1.20+V1.20-F'!$A$48), "A48")</f>
        <v>A48</v>
      </c>
      <c r="D432" s="46" t="s">
        <v>2578</v>
      </c>
    </row>
    <row r="433" spans="1:4" x14ac:dyDescent="0.2">
      <c r="A433" s="178">
        <v>44315.473773148151</v>
      </c>
      <c r="B433" s="176" t="s">
        <v>1534</v>
      </c>
      <c r="C433" s="179" t="str">
        <f ca="1">HYPERLINK("#" &amp; CELL("address", 'V1.50+V1.50-F'!$A$43), "A43")</f>
        <v>A43</v>
      </c>
      <c r="D433" s="46" t="s">
        <v>2578</v>
      </c>
    </row>
    <row r="434" spans="1:4" x14ac:dyDescent="0.2">
      <c r="A434" s="178">
        <v>44315.474351851852</v>
      </c>
      <c r="B434" s="176" t="s">
        <v>1462</v>
      </c>
      <c r="C434" s="179" t="str">
        <f ca="1">HYPERLINK("#" &amp; CELL("address", 'V1.90'!$A$16), "A16")</f>
        <v>A16</v>
      </c>
      <c r="D434" s="46" t="s">
        <v>2578</v>
      </c>
    </row>
    <row r="435" spans="1:4" x14ac:dyDescent="0.2">
      <c r="A435" s="178">
        <v>44315.474710648145</v>
      </c>
      <c r="B435" s="176" t="s">
        <v>1537</v>
      </c>
      <c r="C435" s="179" t="str">
        <f ca="1">HYPERLINK("#" &amp; CELL("address", 'V1.91+V1.91-F'!$A$42), "A42")</f>
        <v>A42</v>
      </c>
      <c r="D435" s="46" t="s">
        <v>2578</v>
      </c>
    </row>
    <row r="436" spans="1:4" x14ac:dyDescent="0.2">
      <c r="A436" s="178">
        <v>44315.475046296298</v>
      </c>
      <c r="B436" s="176" t="s">
        <v>1464</v>
      </c>
      <c r="C436" s="179" t="str">
        <f ca="1">HYPERLINK("#" &amp; CELL("address", 'V1.100'!$A$23), "A23")</f>
        <v>A23</v>
      </c>
      <c r="D436" s="46" t="s">
        <v>2578</v>
      </c>
    </row>
    <row r="437" spans="1:4" x14ac:dyDescent="0.2">
      <c r="A437" s="178">
        <v>44315.475324074076</v>
      </c>
      <c r="B437" s="176" t="s">
        <v>1538</v>
      </c>
      <c r="C437" s="179" t="str">
        <f ca="1">HYPERLINK("#" &amp; CELL("address", 'V1.110+V1.110-F'!$A$38), "A38")</f>
        <v>A38</v>
      </c>
      <c r="D437" s="46" t="s">
        <v>2578</v>
      </c>
    </row>
    <row r="438" spans="1:4" x14ac:dyDescent="0.2">
      <c r="A438" s="178">
        <v>44315.481064814812</v>
      </c>
      <c r="B438" s="176" t="s">
        <v>1471</v>
      </c>
      <c r="C438" s="179" t="str">
        <f ca="1">HYPERLINK("#" &amp; CELL("address", 'V1.222'!$A$31), "A29")</f>
        <v>A29</v>
      </c>
      <c r="D438" s="46" t="s">
        <v>2578</v>
      </c>
    </row>
    <row r="439" spans="1:4" x14ac:dyDescent="0.2">
      <c r="A439" s="178">
        <v>44315.481238425928</v>
      </c>
      <c r="B439" s="176" t="s">
        <v>1539</v>
      </c>
      <c r="C439" s="179" t="str">
        <f ca="1">HYPERLINK("#" &amp; CELL("address", 'V1.300-F'!$A$21), "A21")</f>
        <v>A21</v>
      </c>
      <c r="D439" s="46" t="s">
        <v>2578</v>
      </c>
    </row>
    <row r="440" spans="1:4" x14ac:dyDescent="0.2">
      <c r="A440" s="178">
        <v>44315.656689814816</v>
      </c>
      <c r="B440" s="176" t="s">
        <v>1533</v>
      </c>
      <c r="C440" s="179" t="str">
        <f ca="1">HYPERLINK("#" &amp; CELL("address", 'V1.20+V1.20-F'!$A$38), "A38")</f>
        <v>A38</v>
      </c>
      <c r="D440" s="46" t="s">
        <v>2579</v>
      </c>
    </row>
    <row r="441" spans="1:4" x14ac:dyDescent="0.2">
      <c r="A441" s="178">
        <v>44315.658587962964</v>
      </c>
      <c r="B441" s="176" t="s">
        <v>1533</v>
      </c>
      <c r="C441" s="179" t="str">
        <f ca="1">HYPERLINK("#" &amp; CELL("address", 'V1.20+V1.20-F'!$A$48), "A47")</f>
        <v>A47</v>
      </c>
      <c r="D441" s="46" t="s">
        <v>2581</v>
      </c>
    </row>
    <row r="442" spans="1:4" ht="28.5" x14ac:dyDescent="0.2">
      <c r="A442" s="178">
        <v>44333.408877314818</v>
      </c>
      <c r="B442" s="176" t="s">
        <v>1502</v>
      </c>
      <c r="C442" s="179" t="str">
        <f ca="1">HYPERLINK("#" &amp; CELL("address", Concepts!$D$97), "D96")</f>
        <v>D96</v>
      </c>
      <c r="D442" s="46" t="s">
        <v>2582</v>
      </c>
    </row>
    <row r="443" spans="1:4" x14ac:dyDescent="0.2">
      <c r="A443" s="178">
        <v>44333.414259259262</v>
      </c>
      <c r="B443" s="176" t="s">
        <v>1467</v>
      </c>
      <c r="C443" s="179" t="str">
        <f ca="1">HYPERLINK("#" &amp; CELL("address", 'V1.201'!$A$22), "A22")</f>
        <v>A22</v>
      </c>
      <c r="D443" s="46" t="s">
        <v>2584</v>
      </c>
    </row>
    <row r="444" spans="1:4" x14ac:dyDescent="0.2">
      <c r="A444" s="178">
        <v>44333.414293981485</v>
      </c>
      <c r="B444" s="176" t="s">
        <v>1466</v>
      </c>
      <c r="C444" s="179" t="str">
        <f ca="1">HYPERLINK("#" &amp; CELL("address", 'V1.200'!$A$21), "A21")</f>
        <v>A21</v>
      </c>
      <c r="D444" s="46" t="s">
        <v>2584</v>
      </c>
    </row>
    <row r="445" spans="1:4" x14ac:dyDescent="0.2">
      <c r="A445" s="178">
        <v>44333.687349537038</v>
      </c>
      <c r="B445" s="176" t="s">
        <v>1462</v>
      </c>
      <c r="C445" s="179" t="str">
        <f ca="1">HYPERLINK("#" &amp; CELL("address", 'V1.90'!$A$3), "A3")</f>
        <v>A3</v>
      </c>
      <c r="D445" s="46" t="s">
        <v>2586</v>
      </c>
    </row>
    <row r="446" spans="1:4" x14ac:dyDescent="0.2">
      <c r="A446" s="178">
        <v>44333.687557870369</v>
      </c>
      <c r="B446" s="176" t="s">
        <v>1462</v>
      </c>
      <c r="C446" s="179" t="str">
        <f ca="1">HYPERLINK("#" &amp; CELL("address", 'V1.90'!$A$18), "A18")</f>
        <v>A18</v>
      </c>
      <c r="D446" s="46" t="s">
        <v>2586</v>
      </c>
    </row>
    <row r="447" spans="1:4" x14ac:dyDescent="0.2">
      <c r="A447" s="178">
        <v>44333.687557870369</v>
      </c>
      <c r="B447" s="176" t="s">
        <v>1462</v>
      </c>
      <c r="C447" s="179" t="str">
        <f ca="1">HYPERLINK("#" &amp; CELL("address", 'V1.90'!$A$23), "A23")</f>
        <v>A23</v>
      </c>
      <c r="D447" s="46" t="s">
        <v>2586</v>
      </c>
    </row>
    <row r="448" spans="1:4" x14ac:dyDescent="0.2">
      <c r="A448" s="178">
        <v>44333.687557870369</v>
      </c>
      <c r="B448" s="176" t="s">
        <v>1462</v>
      </c>
      <c r="C448" s="179" t="str">
        <f ca="1">HYPERLINK("#" &amp; CELL("address", 'V1.90'!$A$27), "A27")</f>
        <v>A27</v>
      </c>
      <c r="D448" s="46" t="s">
        <v>2586</v>
      </c>
    </row>
    <row r="449" spans="1:4" x14ac:dyDescent="0.2">
      <c r="A449" s="178">
        <v>44333.688171296293</v>
      </c>
      <c r="B449" s="176" t="s">
        <v>1537</v>
      </c>
      <c r="C449" s="179" t="str">
        <f ca="1">HYPERLINK("#" &amp; CELL("address", 'V1.91+V1.91-F'!$A$49), "A49")</f>
        <v>A49</v>
      </c>
      <c r="D449" s="46" t="s">
        <v>2586</v>
      </c>
    </row>
    <row r="450" spans="1:4" x14ac:dyDescent="0.2">
      <c r="A450" s="178">
        <v>44333.68818287037</v>
      </c>
      <c r="B450" s="176" t="s">
        <v>1537</v>
      </c>
      <c r="C450" s="179" t="str">
        <f ca="1">HYPERLINK("#" &amp; CELL("address", 'V1.91+V1.91-F'!$A$53), "A53")</f>
        <v>A53</v>
      </c>
      <c r="D450" s="46" t="s">
        <v>2586</v>
      </c>
    </row>
    <row r="451" spans="1:4" x14ac:dyDescent="0.2">
      <c r="A451" s="178">
        <v>44333.68818287037</v>
      </c>
      <c r="B451" s="176" t="s">
        <v>1537</v>
      </c>
      <c r="C451" s="179" t="str">
        <f ca="1">HYPERLINK("#" &amp; CELL("address", 'V1.91+V1.91-F'!$A$58), "A58")</f>
        <v>A58</v>
      </c>
      <c r="D451" s="46" t="s">
        <v>2586</v>
      </c>
    </row>
    <row r="452" spans="1:4" x14ac:dyDescent="0.2">
      <c r="A452" s="178">
        <v>44333.68818287037</v>
      </c>
      <c r="B452" s="176" t="s">
        <v>1537</v>
      </c>
      <c r="C452" s="179" t="str">
        <f ca="1">HYPERLINK("#" &amp; CELL("address", 'V1.91+V1.91-F'!$A$62), "A62")</f>
        <v>A62</v>
      </c>
      <c r="D452" s="46" t="s">
        <v>2586</v>
      </c>
    </row>
    <row r="453" spans="1:4" x14ac:dyDescent="0.2">
      <c r="A453" s="178">
        <v>44333.68818287037</v>
      </c>
      <c r="B453" s="176" t="s">
        <v>1537</v>
      </c>
      <c r="C453" s="179" t="str">
        <f ca="1">HYPERLINK("#" &amp; CELL("address", 'V1.91+V1.91-F'!$A$66), "A66")</f>
        <v>A66</v>
      </c>
      <c r="D453" s="46" t="s">
        <v>2586</v>
      </c>
    </row>
    <row r="454" spans="1:4" x14ac:dyDescent="0.2">
      <c r="A454" s="178">
        <v>44333.68818287037</v>
      </c>
      <c r="B454" s="176" t="s">
        <v>1537</v>
      </c>
      <c r="C454" s="179" t="str">
        <f ca="1">HYPERLINK("#" &amp; CELL("address", 'V1.91+V1.91-F'!$A$3), "A3")</f>
        <v>A3</v>
      </c>
      <c r="D454" s="46" t="s">
        <v>2586</v>
      </c>
    </row>
    <row r="455" spans="1:4" x14ac:dyDescent="0.2">
      <c r="A455" s="178">
        <v>44333.68818287037</v>
      </c>
      <c r="B455" s="176" t="s">
        <v>1537</v>
      </c>
      <c r="C455" s="179" t="str">
        <f ca="1">HYPERLINK("#" &amp; CELL("address", 'V1.91+V1.91-F'!$A$44), "A44")</f>
        <v>A44</v>
      </c>
      <c r="D455" s="46" t="s">
        <v>2586</v>
      </c>
    </row>
    <row r="456" spans="1:4" x14ac:dyDescent="0.2">
      <c r="A456" s="178">
        <v>44333.688460648147</v>
      </c>
      <c r="B456" s="176" t="s">
        <v>1470</v>
      </c>
      <c r="C456" s="179" t="str">
        <f ca="1">HYPERLINK("#" &amp; CELL("address", 'V1.221'!$A$3), "A3")</f>
        <v>A3</v>
      </c>
      <c r="D456" s="46" t="s">
        <v>2586</v>
      </c>
    </row>
    <row r="457" spans="1:4" x14ac:dyDescent="0.2">
      <c r="A457" s="178">
        <v>44333.689710648148</v>
      </c>
      <c r="B457" s="176" t="s">
        <v>1502</v>
      </c>
      <c r="C457" s="179" t="str">
        <f ca="1">HYPERLINK("#" &amp; CELL("address", Concepts!$B$165), "B164")</f>
        <v>B164</v>
      </c>
      <c r="D457" s="46" t="s">
        <v>2586</v>
      </c>
    </row>
    <row r="458" spans="1:4" x14ac:dyDescent="0.2">
      <c r="A458" s="178">
        <v>44333.689710648148</v>
      </c>
      <c r="B458" s="176" t="s">
        <v>1502</v>
      </c>
      <c r="C458" s="179" t="str">
        <f ca="1">HYPERLINK("#" &amp; CELL("address", Concepts!$B$166), "B165")</f>
        <v>B165</v>
      </c>
      <c r="D458" s="46" t="s">
        <v>2586</v>
      </c>
    </row>
    <row r="459" spans="1:4" x14ac:dyDescent="0.2">
      <c r="A459" s="178">
        <v>44356.706863425927</v>
      </c>
      <c r="B459" s="176" t="s">
        <v>1468</v>
      </c>
      <c r="C459" s="179" t="str">
        <f ca="1">HYPERLINK("#" &amp; CELL("address", 'V1.210'!$A$27), "A27")</f>
        <v>A27</v>
      </c>
      <c r="D459" s="46" t="s">
        <v>2588</v>
      </c>
    </row>
    <row r="460" spans="1:4" x14ac:dyDescent="0.2">
      <c r="A460" s="178">
        <v>44392.398530092592</v>
      </c>
      <c r="B460" s="176" t="s">
        <v>483</v>
      </c>
      <c r="C460" s="179" t="str">
        <f ca="1">HYPERLINK("#" &amp; CELL("address", Introduction!$B$5), "B5")</f>
        <v>B5</v>
      </c>
      <c r="D460" s="46" t="s">
        <v>2589</v>
      </c>
    </row>
    <row r="461" spans="1:4" ht="28.5" x14ac:dyDescent="0.2">
      <c r="A461" s="178">
        <v>44484.415636574071</v>
      </c>
      <c r="B461" s="176" t="s">
        <v>1552</v>
      </c>
      <c r="C461" s="179" t="str">
        <f ca="1">HYPERLINK("#" &amp; CELL("address", Codes!$E$820), "E820")</f>
        <v>E820</v>
      </c>
      <c r="D461" s="46" t="s">
        <v>2591</v>
      </c>
    </row>
    <row r="462" spans="1:4" x14ac:dyDescent="0.2">
      <c r="A462" s="178">
        <v>44508.359340277777</v>
      </c>
      <c r="B462" s="176" t="s">
        <v>633</v>
      </c>
      <c r="C462" s="179" t="str">
        <f ca="1">HYPERLINK("#" &amp; CELL("address", MCC!$A$133), "A131")</f>
        <v>A131</v>
      </c>
      <c r="D462" s="46" t="s">
        <v>2595</v>
      </c>
    </row>
    <row r="463" spans="1:4" x14ac:dyDescent="0.2">
      <c r="A463" s="178">
        <v>44508.36041666667</v>
      </c>
      <c r="B463" s="176" t="s">
        <v>633</v>
      </c>
      <c r="C463" s="179" t="str">
        <f ca="1">HYPERLINK("#" &amp; CELL("address", MCC!$A$96), "A95")</f>
        <v>A95</v>
      </c>
      <c r="D463" s="46" t="s">
        <v>2597</v>
      </c>
    </row>
    <row r="464" spans="1:4" ht="42.75" x14ac:dyDescent="0.2">
      <c r="A464" s="178">
        <v>44508.36146990741</v>
      </c>
      <c r="B464" s="176" t="s">
        <v>633</v>
      </c>
      <c r="C464" s="179" t="str">
        <f ca="1">HYPERLINK("#" &amp; CELL("address", MCC!$A$200), "A199")</f>
        <v>A199</v>
      </c>
      <c r="D464" s="46" t="s">
        <v>2598</v>
      </c>
    </row>
    <row r="465" spans="1:4" x14ac:dyDescent="0.2">
      <c r="A465" s="178">
        <v>44517.562013888892</v>
      </c>
      <c r="B465" s="176" t="s">
        <v>1536</v>
      </c>
      <c r="C465" s="179" t="str">
        <f ca="1">HYPERLINK("#" &amp; CELL("address", 'V1.60+V1.60-F'!$G$24), "G24")</f>
        <v>G24</v>
      </c>
      <c r="D465" s="46" t="s">
        <v>2599</v>
      </c>
    </row>
    <row r="466" spans="1:4" ht="28.5" x14ac:dyDescent="0.2">
      <c r="A466" s="178">
        <v>44517.562696759262</v>
      </c>
      <c r="B466" s="176" t="s">
        <v>1536</v>
      </c>
      <c r="C466" s="179" t="str">
        <f ca="1">HYPERLINK("#" &amp; CELL("address", 'V1.60+V1.60-F'!$C$3), "C3")</f>
        <v>C3</v>
      </c>
      <c r="D466" s="46" t="s">
        <v>2600</v>
      </c>
    </row>
    <row r="467" spans="1:4" ht="57" x14ac:dyDescent="0.2">
      <c r="A467" s="178">
        <v>44517.564143518517</v>
      </c>
      <c r="B467" s="176" t="s">
        <v>1536</v>
      </c>
      <c r="C467" s="179" t="str">
        <f ca="1">HYPERLINK("#" &amp; CELL("address", 'V1.60+V1.60-F'!$A$24), "A24")</f>
        <v>A24</v>
      </c>
      <c r="D467" s="46" t="s">
        <v>2603</v>
      </c>
    </row>
    <row r="468" spans="1:4" x14ac:dyDescent="0.2">
      <c r="A468" s="178">
        <v>44519.491157407407</v>
      </c>
      <c r="B468" s="176" t="s">
        <v>633</v>
      </c>
      <c r="C468" s="179" t="str">
        <f ca="1">HYPERLINK("#" &amp; CELL("address", MCC!$A$88), "A88")</f>
        <v>A88</v>
      </c>
      <c r="D468" s="46" t="s">
        <v>2606</v>
      </c>
    </row>
    <row r="469" spans="1:4" x14ac:dyDescent="0.2">
      <c r="A469" s="178">
        <v>44523.455706018518</v>
      </c>
      <c r="B469" s="176" t="s">
        <v>1536</v>
      </c>
      <c r="C469" s="179" t="str">
        <f ca="1">HYPERLINK("#" &amp; CELL("address", 'V1.60+V1.60-F'!$A$23), "A23")</f>
        <v>A23</v>
      </c>
      <c r="D469" s="46" t="s">
        <v>2608</v>
      </c>
    </row>
    <row r="470" spans="1:4" x14ac:dyDescent="0.2">
      <c r="A470" s="178">
        <v>44523.455891203703</v>
      </c>
      <c r="B470" s="176" t="s">
        <v>478</v>
      </c>
      <c r="C470" s="179" t="str">
        <f ca="1">HYPERLINK("#" &amp; CELL("address", INDEX!$C$21), "C21")</f>
        <v>C21</v>
      </c>
      <c r="D470" s="46" t="s">
        <v>2608</v>
      </c>
    </row>
    <row r="471" spans="1:4" x14ac:dyDescent="0.2">
      <c r="A471" s="178">
        <v>44523.456284722219</v>
      </c>
      <c r="B471" s="176" t="s">
        <v>1739</v>
      </c>
      <c r="C471" s="179" t="str">
        <f ca="1">HYPERLINK("#" &amp; CELL("address", Correspondence!$E$34), "E34")</f>
        <v>E34</v>
      </c>
      <c r="D471" s="46" t="s">
        <v>2608</v>
      </c>
    </row>
    <row r="472" spans="1:4" ht="28.5" x14ac:dyDescent="0.2">
      <c r="A472" s="178">
        <v>44525.604409722226</v>
      </c>
      <c r="B472" s="176" t="s">
        <v>1502</v>
      </c>
      <c r="C472" s="179" t="str">
        <f ca="1">HYPERLINK("#" &amp; CELL("address", Concepts!$C$17), "C17")</f>
        <v>C17</v>
      </c>
      <c r="D472" s="46" t="s">
        <v>2610</v>
      </c>
    </row>
    <row r="473" spans="1:4" ht="28.5" x14ac:dyDescent="0.2">
      <c r="A473" s="178">
        <v>44525.608460648145</v>
      </c>
      <c r="B473" s="176" t="s">
        <v>1502</v>
      </c>
      <c r="C473" s="179" t="str">
        <f ca="1">HYPERLINK("#" &amp; CELL("address", Concepts!$C$29), "C29")</f>
        <v>C29</v>
      </c>
      <c r="D473" s="46" t="s">
        <v>2612</v>
      </c>
    </row>
    <row r="474" spans="1:4" ht="28.5" x14ac:dyDescent="0.2">
      <c r="A474" s="178">
        <v>44525.618032407408</v>
      </c>
      <c r="B474" s="176" t="s">
        <v>1533</v>
      </c>
      <c r="C474" s="179" t="str">
        <f ca="1">HYPERLINK("#" &amp; CELL("address", 'V1.20+V1.20-F'!$G$14), "G11")</f>
        <v>G11</v>
      </c>
      <c r="D474" s="46" t="s">
        <v>2614</v>
      </c>
    </row>
    <row r="475" spans="1:4" x14ac:dyDescent="0.2">
      <c r="A475" s="178">
        <v>44525.620682870373</v>
      </c>
      <c r="B475" s="176" t="s">
        <v>1502</v>
      </c>
      <c r="C475" s="179" t="str">
        <f ca="1">HYPERLINK("#" &amp; CELL("address", Concepts!$A$37), "A37")</f>
        <v>A37</v>
      </c>
      <c r="D475" s="46" t="s">
        <v>2617</v>
      </c>
    </row>
    <row r="476" spans="1:4" ht="28.5" x14ac:dyDescent="0.2">
      <c r="A476" s="178">
        <v>44525.646863425929</v>
      </c>
      <c r="B476" s="176" t="s">
        <v>1502</v>
      </c>
      <c r="C476" s="179" t="str">
        <f ca="1">HYPERLINK("#" &amp; CELL("address", Concepts!$C$154), "C154")</f>
        <v>C154</v>
      </c>
      <c r="D476" s="46" t="s">
        <v>2619</v>
      </c>
    </row>
    <row r="477" spans="1:4" ht="28.5" x14ac:dyDescent="0.2">
      <c r="A477" s="178">
        <v>44525.647557870368</v>
      </c>
      <c r="B477" s="176" t="s">
        <v>1502</v>
      </c>
      <c r="C477" s="179" t="str">
        <f ca="1">HYPERLINK("#" &amp; CELL("address", Concepts!$D$154), "D154")</f>
        <v>D154</v>
      </c>
      <c r="D477" s="46" t="s">
        <v>2621</v>
      </c>
    </row>
    <row r="478" spans="1:4" x14ac:dyDescent="0.2">
      <c r="A478" s="178">
        <v>44525.658854166664</v>
      </c>
      <c r="B478" s="176" t="s">
        <v>2418</v>
      </c>
      <c r="C478" s="179" t="str">
        <f ca="1">HYPERLINK("#" &amp; CELL("address", 'Processing chain'!$B$26), "B26")</f>
        <v>B26</v>
      </c>
      <c r="D478" s="46" t="s">
        <v>2623</v>
      </c>
    </row>
    <row r="479" spans="1:4" x14ac:dyDescent="0.2">
      <c r="A479" s="178">
        <v>44526.460763888892</v>
      </c>
      <c r="B479" s="176" t="s">
        <v>1502</v>
      </c>
      <c r="C479" s="179" t="str">
        <f ca="1">HYPERLINK("#" &amp; CELL("address", Concepts!$A$42), "A42")</f>
        <v>A42</v>
      </c>
      <c r="D479" s="46" t="s">
        <v>2627</v>
      </c>
    </row>
    <row r="480" spans="1:4" ht="28.5" x14ac:dyDescent="0.2">
      <c r="A480" s="178">
        <v>44526.461226851854</v>
      </c>
      <c r="B480" s="176" t="s">
        <v>1502</v>
      </c>
      <c r="C480" s="179" t="str">
        <f ca="1">HYPERLINK("#" &amp; CELL("address", Concepts!$C$42), "C42")</f>
        <v>C42</v>
      </c>
      <c r="D480" s="46" t="s">
        <v>2628</v>
      </c>
    </row>
    <row r="481" spans="1:4" ht="28.5" x14ac:dyDescent="0.2">
      <c r="A481" s="178">
        <v>44529.669537037036</v>
      </c>
      <c r="B481" s="176" t="s">
        <v>1471</v>
      </c>
      <c r="C481" s="179" t="str">
        <f ca="1">HYPERLINK("#" &amp; CELL("address", 'V1.222'!$A$28), "A28")</f>
        <v>A28</v>
      </c>
      <c r="D481" s="46" t="s">
        <v>2631</v>
      </c>
    </row>
    <row r="482" spans="1:4" ht="28.5" x14ac:dyDescent="0.2">
      <c r="A482" s="178">
        <v>44601.694768518515</v>
      </c>
      <c r="B482" s="176" t="s">
        <v>1458</v>
      </c>
      <c r="C482" s="179" t="str">
        <f ca="1">HYPERLINK("#" &amp; CELL("address", 'V1.41'!$G$3), "G3")</f>
        <v>G3</v>
      </c>
      <c r="D482" s="46" t="s">
        <v>2632</v>
      </c>
    </row>
    <row r="483" spans="1:4" x14ac:dyDescent="0.2">
      <c r="A483" s="178">
        <v>44601.705706018518</v>
      </c>
      <c r="B483" s="176" t="s">
        <v>1458</v>
      </c>
      <c r="C483" s="179" t="str">
        <f ca="1">HYPERLINK("#" &amp; CELL("address", 'V1.41'!$A$25), "A25")</f>
        <v>A25</v>
      </c>
      <c r="D483" s="46" t="s">
        <v>2639</v>
      </c>
    </row>
    <row r="484" spans="1:4" x14ac:dyDescent="0.2">
      <c r="A484" s="178">
        <v>44601.711770833332</v>
      </c>
      <c r="B484" s="176" t="s">
        <v>1458</v>
      </c>
      <c r="C484" s="179" t="str">
        <f ca="1">HYPERLINK("#" &amp; CELL("address", 'V1.41'!$A$36), "A36")</f>
        <v>A36</v>
      </c>
      <c r="D484" s="46" t="s">
        <v>2646</v>
      </c>
    </row>
    <row r="485" spans="1:4" x14ac:dyDescent="0.2">
      <c r="A485" s="178">
        <v>44603.66170138889</v>
      </c>
      <c r="B485" s="176" t="s">
        <v>1469</v>
      </c>
      <c r="C485" s="179" t="str">
        <f ca="1">HYPERLINK("#" &amp; CELL("address", 'V1.220'!$A$22), "A22")</f>
        <v>A22</v>
      </c>
      <c r="D485" s="46" t="s">
        <v>2650</v>
      </c>
    </row>
    <row r="486" spans="1:4" ht="28.5" x14ac:dyDescent="0.2">
      <c r="A486" s="178">
        <v>44882.352881944447</v>
      </c>
      <c r="B486" s="176" t="s">
        <v>1458</v>
      </c>
      <c r="C486" s="179" t="str">
        <f ca="1">HYPERLINK("#" &amp; CELL("address", 'V1.41'!$A$33), "A33")</f>
        <v>A33</v>
      </c>
      <c r="D486" s="46" t="s">
        <v>2652</v>
      </c>
    </row>
    <row r="487" spans="1:4" x14ac:dyDescent="0.2">
      <c r="A487" s="178">
        <v>45040.375127314815</v>
      </c>
      <c r="B487" s="176" t="s">
        <v>1533</v>
      </c>
      <c r="C487" s="179" t="str">
        <f ca="1">HYPERLINK("#" &amp; CELL("address", 'V1.20+V1.20-F'!$C$5), "C5")</f>
        <v>C5</v>
      </c>
      <c r="D487" s="46" t="s">
        <v>2654</v>
      </c>
    </row>
    <row r="488" spans="1:4" x14ac:dyDescent="0.2">
      <c r="A488" s="178">
        <v>45040.392164351855</v>
      </c>
      <c r="B488" s="176" t="s">
        <v>1096</v>
      </c>
      <c r="C488" s="179" t="str">
        <f ca="1">HYPERLINK("#" &amp; CELL("address", 'V1.21'!$C$5), "C5")</f>
        <v>C5</v>
      </c>
      <c r="D488" s="46" t="s">
        <v>2654</v>
      </c>
    </row>
    <row r="489" spans="1:4" x14ac:dyDescent="0.2">
      <c r="A489" s="178">
        <v>45040.392268518517</v>
      </c>
      <c r="B489" s="176" t="s">
        <v>1771</v>
      </c>
      <c r="C489" s="179" t="str">
        <f ca="1">HYPERLINK("#" &amp; CELL("address", 'V1.30+V1.30-F'!$C$5), "C5")</f>
        <v>C5</v>
      </c>
      <c r="D489" s="46" t="s">
        <v>2654</v>
      </c>
    </row>
    <row r="490" spans="1:4" x14ac:dyDescent="0.2">
      <c r="A490" s="178">
        <v>45040.392384259256</v>
      </c>
      <c r="B490" s="176" t="s">
        <v>1097</v>
      </c>
      <c r="C490" s="179" t="str">
        <f ca="1">HYPERLINK("#" &amp; CELL("address", 'V1.31'!$C$5), "C5")</f>
        <v>C5</v>
      </c>
      <c r="D490" s="46" t="s">
        <v>2654</v>
      </c>
    </row>
    <row r="491" spans="1:4" x14ac:dyDescent="0.2">
      <c r="A491" s="178">
        <v>45040.392465277779</v>
      </c>
      <c r="B491" s="176" t="s">
        <v>1457</v>
      </c>
      <c r="C491" s="179" t="str">
        <f ca="1">HYPERLINK("#" &amp; CELL("address", 'V1.40'!$G$5), "G5")</f>
        <v>G5</v>
      </c>
      <c r="D491" s="46" t="s">
        <v>2654</v>
      </c>
    </row>
    <row r="492" spans="1:4" x14ac:dyDescent="0.2">
      <c r="A492" s="178">
        <v>45040.392523148148</v>
      </c>
      <c r="B492" s="176" t="s">
        <v>1458</v>
      </c>
      <c r="C492" s="179" t="str">
        <f ca="1">HYPERLINK("#" &amp; CELL("address", 'V1.41'!$E$5), "E5")</f>
        <v>E5</v>
      </c>
      <c r="D492" s="46" t="s">
        <v>2654</v>
      </c>
    </row>
    <row r="493" spans="1:4" x14ac:dyDescent="0.2">
      <c r="A493" s="178">
        <v>45040.392800925925</v>
      </c>
      <c r="B493" s="176" t="s">
        <v>1459</v>
      </c>
      <c r="C493" s="179" t="str">
        <f ca="1">HYPERLINK("#" &amp; CELL("address", 'V1.42'!$G$5), "G5")</f>
        <v>G5</v>
      </c>
      <c r="D493" s="46" t="s">
        <v>2654</v>
      </c>
    </row>
    <row r="494" spans="1:4" ht="28.5" x14ac:dyDescent="0.2">
      <c r="A494" s="178">
        <v>45040.394641203704</v>
      </c>
      <c r="B494" s="176" t="s">
        <v>1533</v>
      </c>
      <c r="C494" s="179" t="str">
        <f ca="1">HYPERLINK("#" &amp; CELL("address", 'V1.20+V1.20-F'!$A$58), "A57")</f>
        <v>A57</v>
      </c>
      <c r="D494" s="46" t="s">
        <v>2656</v>
      </c>
    </row>
    <row r="495" spans="1:4" ht="28.5" x14ac:dyDescent="0.2">
      <c r="A495" s="178">
        <v>45040.394768518519</v>
      </c>
      <c r="B495" s="176" t="s">
        <v>1533</v>
      </c>
      <c r="C495" s="179" t="str">
        <f ca="1">HYPERLINK("#" &amp; CELL("address", 'V1.20+V1.20-F'!$C$60), "C59")</f>
        <v>C59</v>
      </c>
      <c r="D495" s="46" t="s">
        <v>2656</v>
      </c>
    </row>
    <row r="496" spans="1:4" x14ac:dyDescent="0.2">
      <c r="A496" s="178">
        <v>45040.415902777779</v>
      </c>
      <c r="B496" s="176" t="s">
        <v>1502</v>
      </c>
      <c r="C496" s="179" t="str">
        <f ca="1">HYPERLINK("#" &amp; CELL("address", Concepts!$C$87), "C87")</f>
        <v>C87</v>
      </c>
      <c r="D496" s="46" t="s">
        <v>2660</v>
      </c>
    </row>
    <row r="497" spans="1:4" x14ac:dyDescent="0.2">
      <c r="A497" s="178">
        <v>45040.421724537038</v>
      </c>
      <c r="B497" s="176" t="s">
        <v>1533</v>
      </c>
      <c r="C497" s="179" t="str">
        <f ca="1">HYPERLINK("#" &amp; CELL("address", 'V1.20+V1.20-F'!$A$41), "A41")</f>
        <v>A41</v>
      </c>
      <c r="D497" s="46" t="s">
        <v>2663</v>
      </c>
    </row>
    <row r="498" spans="1:4" x14ac:dyDescent="0.2">
      <c r="A498" s="178">
        <v>45040.4221412037</v>
      </c>
      <c r="B498" s="176" t="s">
        <v>1771</v>
      </c>
      <c r="C498" s="179" t="str">
        <f ca="1">HYPERLINK("#" &amp; CELL("address", 'V1.30+V1.30-F'!$A$42), "A42")</f>
        <v>A42</v>
      </c>
      <c r="D498" s="46" t="s">
        <v>2664</v>
      </c>
    </row>
    <row r="499" spans="1:4" ht="28.5" x14ac:dyDescent="0.2">
      <c r="A499" s="178">
        <v>45272.400081018517</v>
      </c>
      <c r="B499" s="176" t="s">
        <v>1537</v>
      </c>
      <c r="C499" s="179" t="str">
        <f ca="1">HYPERLINK("#" &amp; CELL("address", 'V1.91+V1.91-F'!$E$7), "E7")</f>
        <v>E7</v>
      </c>
      <c r="D499" s="46" t="s">
        <v>2665</v>
      </c>
    </row>
    <row r="500" spans="1:4" ht="28.5" x14ac:dyDescent="0.2">
      <c r="A500" s="178">
        <v>45272.400520833333</v>
      </c>
      <c r="B500" s="176" t="s">
        <v>1502</v>
      </c>
      <c r="C500" s="179" t="str">
        <f ca="1">HYPERLINK("#" &amp; CELL("address", Concepts!$F$42), "F42")</f>
        <v>F42</v>
      </c>
      <c r="D500" s="46" t="s">
        <v>2666</v>
      </c>
    </row>
  </sheetData>
  <autoFilter ref="A3:D44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59999389629810485"/>
  </sheetPr>
  <dimension ref="A1:V84"/>
  <sheetViews>
    <sheetView zoomScaleNormal="100" workbookViewId="0"/>
  </sheetViews>
  <sheetFormatPr defaultRowHeight="14.25" x14ac:dyDescent="0.2"/>
  <cols>
    <col min="1" max="1" width="24.875" style="21" customWidth="1"/>
    <col min="2" max="2" width="7.375" style="21" customWidth="1"/>
    <col min="3" max="3" width="30.625" style="21" customWidth="1"/>
    <col min="4" max="4" width="7.375" style="21" customWidth="1"/>
    <col min="5" max="5" width="25.75" style="21" customWidth="1"/>
    <col min="6" max="6" width="7.375" style="21" customWidth="1"/>
    <col min="7" max="7" width="32.5" style="21" customWidth="1"/>
    <col min="8" max="8" width="7.625" style="21" customWidth="1"/>
    <col min="9" max="9" width="35.75" style="21" customWidth="1"/>
    <col min="10" max="10" width="7.375" style="21" customWidth="1"/>
    <col min="11" max="11" width="21.375" style="21" customWidth="1"/>
    <col min="12" max="12" width="6.375" style="21" customWidth="1"/>
    <col min="13" max="13" width="34.25" style="21" customWidth="1"/>
    <col min="14" max="14" width="6.5" style="21" customWidth="1"/>
    <col min="15" max="15" width="48.75" style="21" customWidth="1"/>
    <col min="16" max="16" width="8.25" style="21" customWidth="1"/>
    <col min="17" max="17" width="28.125" style="21" customWidth="1"/>
    <col min="18" max="18" width="8.25" style="21" customWidth="1"/>
    <col min="19" max="19" width="26.75" style="21" customWidth="1"/>
    <col min="20" max="20" width="11.25" style="21" customWidth="1"/>
    <col min="21" max="21" width="35.875" style="21" customWidth="1"/>
    <col min="22" max="22" width="13.625" customWidth="1"/>
  </cols>
  <sheetData>
    <row r="1" spans="1:22" s="33" customFormat="1" x14ac:dyDescent="0.2">
      <c r="A1" s="61" t="str">
        <f ca="1">HYPERLINK("#" &amp; CELL("address",INDEX!$A$1), "Go back to INDEX")</f>
        <v>Go back to INDEX</v>
      </c>
      <c r="B1" s="43"/>
      <c r="C1" s="43"/>
      <c r="D1" s="43"/>
      <c r="E1" s="43"/>
      <c r="F1" s="43"/>
      <c r="G1" s="43"/>
      <c r="H1" s="43"/>
      <c r="I1" s="43"/>
      <c r="J1" s="43"/>
      <c r="K1" s="43"/>
      <c r="L1" s="43"/>
      <c r="M1" s="43"/>
      <c r="N1" s="43"/>
      <c r="O1" s="43"/>
      <c r="P1" s="43"/>
      <c r="Q1" s="43"/>
      <c r="R1" s="43"/>
      <c r="S1" s="43"/>
      <c r="T1" s="43"/>
      <c r="U1" s="43"/>
    </row>
    <row r="2" spans="1:22" s="33" customFormat="1" ht="20.25" x14ac:dyDescent="0.2">
      <c r="A2" s="62" t="s">
        <v>468</v>
      </c>
      <c r="B2" s="63"/>
      <c r="C2" s="43"/>
      <c r="D2" s="43"/>
      <c r="E2" s="43"/>
      <c r="F2" s="43"/>
      <c r="G2" s="43"/>
      <c r="H2" s="43"/>
      <c r="I2" s="43"/>
      <c r="J2" s="43"/>
      <c r="K2" s="43"/>
      <c r="L2" s="43"/>
      <c r="M2" s="43"/>
      <c r="N2" s="43"/>
      <c r="O2" s="43"/>
      <c r="P2" s="43"/>
      <c r="Q2" s="43"/>
      <c r="R2" s="43"/>
      <c r="S2" s="43"/>
      <c r="T2" s="43"/>
      <c r="U2" s="43"/>
      <c r="V2" s="43"/>
    </row>
    <row r="3" spans="1:22" s="64" customFormat="1" ht="15" x14ac:dyDescent="0.2">
      <c r="A3" s="51" t="s">
        <v>906</v>
      </c>
      <c r="B3" s="51"/>
      <c r="C3" s="51" t="s">
        <v>65</v>
      </c>
      <c r="D3" s="51"/>
      <c r="E3" s="51" t="s">
        <v>898</v>
      </c>
      <c r="F3" s="51"/>
      <c r="G3" s="51" t="s">
        <v>462</v>
      </c>
      <c r="H3" s="51"/>
      <c r="I3" s="51" t="s">
        <v>733</v>
      </c>
      <c r="J3" s="51"/>
      <c r="K3" s="51" t="s">
        <v>734</v>
      </c>
      <c r="L3" s="51"/>
      <c r="M3" s="51" t="s">
        <v>422</v>
      </c>
      <c r="N3" s="51"/>
      <c r="O3" s="51" t="s">
        <v>469</v>
      </c>
      <c r="P3" s="51"/>
      <c r="Q3" s="51" t="s">
        <v>749</v>
      </c>
      <c r="R3" s="51"/>
      <c r="S3" s="51" t="s">
        <v>361</v>
      </c>
      <c r="T3" s="51"/>
      <c r="U3" s="51" t="s">
        <v>744</v>
      </c>
      <c r="V3" s="51"/>
    </row>
    <row r="4" spans="1:22" s="33" customFormat="1" ht="14.1" customHeight="1" x14ac:dyDescent="0.2">
      <c r="A4" s="248" t="str">
        <f ca="1">HYPERLINK("#" &amp; CELL("address", Concepts!$A$6), "MFIs:")</f>
        <v>MFIs:</v>
      </c>
      <c r="B4" s="136"/>
      <c r="C4" s="137" t="s">
        <v>737</v>
      </c>
      <c r="D4" s="136"/>
      <c r="E4" s="151" t="str">
        <f ca="1">HYPERLINK("#" &amp; CELL("address", Concepts!$A$26), "SEPA credit transfer ")</f>
        <v xml:space="preserve">SEPA credit transfer </v>
      </c>
      <c r="F4" s="138" t="s">
        <v>471</v>
      </c>
      <c r="G4" s="151" t="str">
        <f ca="1">HYPERLINK("#" &amp; CELL("address", Concepts!$A$30), "Paper")</f>
        <v>Paper</v>
      </c>
      <c r="H4" s="138" t="s">
        <v>729</v>
      </c>
      <c r="I4" s="151" t="str">
        <f ca="1">HYPERLINK("#" &amp; CELL("address", Concepts!$A$43), "Remote")</f>
        <v>Remote</v>
      </c>
      <c r="J4" s="138" t="s">
        <v>1044</v>
      </c>
      <c r="K4" s="152" t="str">
        <f ca="1">HYPERLINK("#" &amp; CELL("address", Concepts!$A$45), "Customer")</f>
        <v>Customer</v>
      </c>
      <c r="L4" s="138" t="s">
        <v>896</v>
      </c>
      <c r="M4" s="151" t="str">
        <f ca="1">HYPERLINK("#" &amp; CELL("address", Concepts!$A$47), "SCA used")</f>
        <v>SCA used</v>
      </c>
      <c r="N4" s="138" t="s">
        <v>1049</v>
      </c>
      <c r="O4" s="156" t="str">
        <f ca="1">HYPERLINK("#" &amp; CELL("address", Concepts!$A$59), "Not applicable")</f>
        <v>Not applicable</v>
      </c>
      <c r="P4" s="138" t="s">
        <v>761</v>
      </c>
      <c r="Q4" s="151" t="str">
        <f ca="1">HYPERLINK("#" &amp; CELL("address", Concepts!$A$145), "2-letter ISO 3166 country code")</f>
        <v>2-letter ISO 3166 country code</v>
      </c>
      <c r="R4" s="138" t="s">
        <v>360</v>
      </c>
      <c r="S4" s="156" t="str">
        <f ca="1">HYPERLINK("#" &amp; CELL("address", Concepts!$A$146), "3-letter ISO 4217 currency code")</f>
        <v>3-letter ISO 4217 currency code</v>
      </c>
      <c r="T4" s="138" t="s">
        <v>362</v>
      </c>
      <c r="U4" s="151" t="str">
        <f ca="1">HYPERLINK("#" &amp; CELL("address", Concepts!$A$147), "Number of transactions ")</f>
        <v xml:space="preserve">Number of transactions </v>
      </c>
      <c r="V4" s="139" t="s">
        <v>389</v>
      </c>
    </row>
    <row r="5" spans="1:22" s="33" customFormat="1" ht="14.1" customHeight="1" x14ac:dyDescent="0.2">
      <c r="A5" s="145" t="str">
        <f ca="1">HYPERLINK("#" &amp; CELL("address", Concepts!$A$7), "╠═ Credit institution")</f>
        <v>╠═ Credit institution</v>
      </c>
      <c r="B5" s="76" t="s">
        <v>356</v>
      </c>
      <c r="C5" s="74" t="s">
        <v>2653</v>
      </c>
      <c r="D5" s="76" t="s">
        <v>45</v>
      </c>
      <c r="E5" s="148" t="str">
        <f ca="1">HYPERLINK("#" &amp; CELL("address", Concepts!$A$27), "SEPA Instant Credit Transfer")</f>
        <v>SEPA Instant Credit Transfer</v>
      </c>
      <c r="F5" s="76" t="s">
        <v>466</v>
      </c>
      <c r="G5" s="153" t="str">
        <f ca="1">HYPERLINK("#" &amp; CELL("address", Concepts!$A$32), "Electronic file/batch")</f>
        <v>Electronic file/batch</v>
      </c>
      <c r="H5" s="76" t="s">
        <v>728</v>
      </c>
      <c r="I5" s="153" t="str">
        <f ca="1">HYPERLINK("#" &amp; CELL("address", Concepts!$A$44), "Non-remote")</f>
        <v>Non-remote</v>
      </c>
      <c r="J5" s="76" t="s">
        <v>1045</v>
      </c>
      <c r="K5" s="153" t="str">
        <f ca="1">HYPERLINK("#" &amp; CELL("address", Concepts!$A$46), "PISP")</f>
        <v>PISP</v>
      </c>
      <c r="L5" s="76" t="s">
        <v>409</v>
      </c>
      <c r="M5" s="77" t="s">
        <v>479</v>
      </c>
      <c r="N5" s="76"/>
      <c r="O5" s="75"/>
      <c r="P5" s="76"/>
      <c r="Q5" s="75"/>
      <c r="R5" s="76"/>
      <c r="S5" s="75"/>
      <c r="T5" s="76"/>
      <c r="U5" s="153" t="str">
        <f ca="1">HYPERLINK("#" &amp; CELL("address", Concepts!$A$148), "Value of transactions")</f>
        <v>Value of transactions</v>
      </c>
      <c r="V5" s="140" t="s">
        <v>390</v>
      </c>
    </row>
    <row r="6" spans="1:22" s="33" customFormat="1" ht="14.1" customHeight="1" x14ac:dyDescent="0.2">
      <c r="A6" s="145" t="str">
        <f ca="1">HYPERLINK("#" &amp; CELL("address", Concepts!$A$8), "╠═ Monetary fund")</f>
        <v>╠═ Monetary fund</v>
      </c>
      <c r="B6" s="76" t="s">
        <v>357</v>
      </c>
      <c r="C6" s="74" t="s">
        <v>1896</v>
      </c>
      <c r="D6" s="76" t="s">
        <v>47</v>
      </c>
      <c r="E6" s="153" t="str">
        <f ca="1">HYPERLINK("#" &amp; CELL("address", Concepts!$A$28), "Non-SEPA scheme")</f>
        <v>Non-SEPA scheme</v>
      </c>
      <c r="F6" s="76" t="s">
        <v>900</v>
      </c>
      <c r="G6" s="154" t="str">
        <f ca="1">HYPERLINK("#" &amp; CELL("address", Concepts!$A$31), "Electronic single:")</f>
        <v>Electronic single:</v>
      </c>
      <c r="H6" s="78"/>
      <c r="I6" s="75"/>
      <c r="J6" s="76"/>
      <c r="K6" s="79"/>
      <c r="L6" s="76"/>
      <c r="M6" s="77" t="s">
        <v>871</v>
      </c>
      <c r="N6" s="76"/>
      <c r="O6" s="75"/>
      <c r="P6" s="76"/>
      <c r="Q6" s="75"/>
      <c r="R6" s="76"/>
      <c r="S6" s="75"/>
      <c r="T6" s="76"/>
      <c r="U6" s="75"/>
      <c r="V6" s="140"/>
    </row>
    <row r="7" spans="1:22" s="33" customFormat="1" ht="14.1" customHeight="1" x14ac:dyDescent="0.2">
      <c r="A7" s="146" t="str">
        <f ca="1">HYPERLINK("#" &amp; CELL("address", Concepts!$A$9), "╠═ Electronic money institution ")</f>
        <v xml:space="preserve">╠═ Electronic money institution </v>
      </c>
      <c r="B7" s="76" t="s">
        <v>475</v>
      </c>
      <c r="C7" s="74" t="s">
        <v>1897</v>
      </c>
      <c r="D7" s="76" t="s">
        <v>49</v>
      </c>
      <c r="E7" s="148" t="str">
        <f ca="1">HYPERLINK("#" &amp; CELL("address", Concepts!$A$29), "Not applicable")</f>
        <v>Not applicable</v>
      </c>
      <c r="F7" s="76" t="s">
        <v>761</v>
      </c>
      <c r="G7" s="154" t="str">
        <f ca="1">HYPERLINK("#" &amp; CELL("address", Concepts!$A$33), "╠╗ Online banking based payment:")</f>
        <v>╠╗ Online banking based payment:</v>
      </c>
      <c r="H7" s="78"/>
      <c r="I7" s="75"/>
      <c r="J7" s="76"/>
      <c r="K7" s="76"/>
      <c r="L7" s="76"/>
      <c r="M7" s="153" t="str">
        <f ca="1">HYPERLINK("#" &amp; CELL("address", Concepts!$A$49), "║╠═ Payment to self")</f>
        <v>║╠═ Payment to self</v>
      </c>
      <c r="N7" s="76" t="s">
        <v>1058</v>
      </c>
      <c r="O7" s="75"/>
      <c r="P7" s="76"/>
      <c r="Q7" s="75"/>
      <c r="R7" s="76"/>
      <c r="S7" s="75"/>
      <c r="T7" s="76"/>
      <c r="U7" s="75"/>
      <c r="V7" s="140"/>
    </row>
    <row r="8" spans="1:22" s="33" customFormat="1" ht="14.1" customHeight="1" x14ac:dyDescent="0.2">
      <c r="A8" s="147" t="str">
        <f ca="1">HYPERLINK("#" &amp; CELL("address", Concepts!$A$13), "╠═ Payment institution")</f>
        <v>╠═ Payment institution</v>
      </c>
      <c r="B8" s="76" t="s">
        <v>1015</v>
      </c>
      <c r="C8" s="74" t="s">
        <v>1898</v>
      </c>
      <c r="D8" s="76" t="s">
        <v>51</v>
      </c>
      <c r="E8" s="74"/>
      <c r="F8" s="74"/>
      <c r="G8" s="153" t="str">
        <f ca="1">HYPERLINK("#" &amp; CELL("address", Concepts!$A$34), "║╠═ E-commerce payment")</f>
        <v>║╠═ E-commerce payment</v>
      </c>
      <c r="H8" s="76" t="s">
        <v>727</v>
      </c>
      <c r="I8" s="75"/>
      <c r="J8" s="76"/>
      <c r="K8" s="76"/>
      <c r="L8" s="76"/>
      <c r="M8" s="153" t="str">
        <f ca="1">HYPERLINK("#" &amp; CELL("address", Concepts!$A$50), "║╠═ Trusted beneficiaries")</f>
        <v>║╠═ Trusted beneficiaries</v>
      </c>
      <c r="N8" s="76" t="s">
        <v>1059</v>
      </c>
      <c r="O8" s="75"/>
      <c r="P8" s="76"/>
      <c r="Q8" s="75"/>
      <c r="R8" s="76"/>
      <c r="S8" s="75"/>
      <c r="T8" s="76"/>
      <c r="U8" s="75"/>
      <c r="V8" s="140"/>
    </row>
    <row r="9" spans="1:22" s="33" customFormat="1" ht="14.1" customHeight="1" x14ac:dyDescent="0.2">
      <c r="A9" s="145" t="str">
        <f ca="1">HYPERLINK("#" &amp; CELL("address", Concepts!$A$10), "╚═ Other MFI")</f>
        <v>╚═ Other MFI</v>
      </c>
      <c r="B9" s="76" t="s">
        <v>470</v>
      </c>
      <c r="C9" s="74" t="s">
        <v>1899</v>
      </c>
      <c r="D9" s="76" t="s">
        <v>53</v>
      </c>
      <c r="E9" s="75"/>
      <c r="F9" s="76"/>
      <c r="G9" s="192" t="str">
        <f ca="1">HYPERLINK("#" &amp; CELL("address", Concepts!$A$35), "║╚═ Web banking payment")</f>
        <v>║╚═ Web banking payment</v>
      </c>
      <c r="H9" s="144" t="s">
        <v>1509</v>
      </c>
      <c r="I9" s="75"/>
      <c r="J9" s="76"/>
      <c r="K9" s="76"/>
      <c r="L9" s="76"/>
      <c r="M9" s="153" t="str">
        <f ca="1">HYPERLINK("#" &amp; CELL("address", Concepts!$A$51), "║╚═ Recurring transaction")</f>
        <v>║╚═ Recurring transaction</v>
      </c>
      <c r="N9" s="76" t="s">
        <v>1060</v>
      </c>
      <c r="O9" s="75"/>
      <c r="P9" s="76"/>
      <c r="Q9" s="75"/>
      <c r="R9" s="76"/>
      <c r="S9" s="75"/>
      <c r="T9" s="76"/>
      <c r="U9" s="75"/>
      <c r="V9" s="140"/>
    </row>
    <row r="10" spans="1:22" s="33" customFormat="1" ht="14.1" customHeight="1" x14ac:dyDescent="0.2">
      <c r="A10" s="154" t="str">
        <f ca="1">HYPERLINK("#" &amp; CELL("address", Concepts!$A$11), "Non-MFIs:")</f>
        <v>Non-MFIs:</v>
      </c>
      <c r="B10" s="76"/>
      <c r="C10" s="80" t="s">
        <v>921</v>
      </c>
      <c r="D10" s="78"/>
      <c r="E10" s="75"/>
      <c r="F10" s="76"/>
      <c r="G10" s="148" t="str">
        <f ca="1">HYPERLINK("#" &amp; CELL("address", Concepts!$A$36), "╠═ ATM or other PSP terminal")</f>
        <v>╠═ ATM or other PSP terminal</v>
      </c>
      <c r="H10" s="76" t="s">
        <v>1054</v>
      </c>
      <c r="I10" s="75"/>
      <c r="J10" s="76"/>
      <c r="K10" s="76"/>
      <c r="L10" s="76"/>
      <c r="M10" s="77" t="s">
        <v>870</v>
      </c>
      <c r="N10" s="76"/>
      <c r="O10" s="75"/>
      <c r="P10" s="76"/>
      <c r="Q10" s="75"/>
      <c r="R10" s="76"/>
      <c r="S10" s="75"/>
      <c r="T10" s="76"/>
      <c r="U10" s="75"/>
      <c r="V10" s="140"/>
    </row>
    <row r="11" spans="1:22" s="33" customFormat="1" ht="14.1" customHeight="1" x14ac:dyDescent="0.2">
      <c r="A11" s="145" t="str">
        <f ca="1">HYPERLINK("#" &amp; CELL("address", Concepts!$A$12), "╠═ Non-monetary fund")</f>
        <v>╠═ Non-monetary fund</v>
      </c>
      <c r="B11" s="76" t="s">
        <v>352</v>
      </c>
      <c r="C11" s="82" t="s">
        <v>1900</v>
      </c>
      <c r="D11" s="76" t="s">
        <v>732</v>
      </c>
      <c r="E11" s="75"/>
      <c r="F11" s="76"/>
      <c r="G11" s="155" t="str">
        <f ca="1">HYPERLINK("#" &amp; CELL("address", Concepts!$A$38), "╠╗ Mobile payment solution (MPS):")</f>
        <v>╠╗ Mobile payment solution (MPS):</v>
      </c>
      <c r="H11" s="76"/>
      <c r="I11" s="75"/>
      <c r="J11" s="76"/>
      <c r="K11" s="76"/>
      <c r="L11" s="76"/>
      <c r="M11" s="153" t="str">
        <f ca="1">HYPERLINK("#" &amp; CELL("address", Concepts!$A$52), "║╠═ Contactless low value")</f>
        <v>║╠═ Contactless low value</v>
      </c>
      <c r="N11" s="76" t="s">
        <v>1061</v>
      </c>
      <c r="O11" s="75"/>
      <c r="P11" s="76"/>
      <c r="Q11" s="75"/>
      <c r="R11" s="76"/>
      <c r="S11" s="75"/>
      <c r="T11" s="76"/>
      <c r="U11" s="75"/>
      <c r="V11" s="140"/>
    </row>
    <row r="12" spans="1:22" s="33" customFormat="1" ht="14.1" customHeight="1" x14ac:dyDescent="0.2">
      <c r="A12" s="147" t="str">
        <f ca="1">HYPERLINK("#" &amp; CELL("address", Concepts!$A$14), "╠═ Households and NPISHs")</f>
        <v>╠═ Households and NPISHs</v>
      </c>
      <c r="B12" s="76" t="s">
        <v>738</v>
      </c>
      <c r="C12" s="82" t="s">
        <v>1901</v>
      </c>
      <c r="D12" s="76" t="s">
        <v>798</v>
      </c>
      <c r="E12" s="75"/>
      <c r="F12" s="76"/>
      <c r="G12" s="148" t="str">
        <f ca="1">HYPERLINK("#" &amp; CELL("address", Concepts!$A$40), "║╠═ P2P MPS")</f>
        <v>║╠═ P2P MPS</v>
      </c>
      <c r="H12" s="76" t="s">
        <v>730</v>
      </c>
      <c r="I12" s="75"/>
      <c r="J12" s="76"/>
      <c r="K12" s="76"/>
      <c r="L12" s="76"/>
      <c r="M12" s="153" t="str">
        <f ca="1">HYPERLINK("#" &amp; CELL("address", Concepts!$A$53), "║╚═ Unattended terminal for transport fares or parking fees")</f>
        <v>║╚═ Unattended terminal for transport fares or parking fees</v>
      </c>
      <c r="N12" s="76" t="s">
        <v>1062</v>
      </c>
      <c r="O12" s="75"/>
      <c r="P12" s="76"/>
      <c r="Q12" s="75"/>
      <c r="R12" s="76"/>
      <c r="S12" s="75"/>
      <c r="T12" s="76"/>
      <c r="U12" s="75"/>
      <c r="V12" s="140"/>
    </row>
    <row r="13" spans="1:22" s="33" customFormat="1" ht="14.1" customHeight="1" x14ac:dyDescent="0.2">
      <c r="A13" s="147" t="str">
        <f ca="1">HYPERLINK("#" &amp; CELL("address", Concepts!$A$15), "╠═ Non-financial corporations")</f>
        <v>╠═ Non-financial corporations</v>
      </c>
      <c r="B13" s="76" t="s">
        <v>739</v>
      </c>
      <c r="C13" s="146" t="str">
        <f ca="1">HYPERLINK("#" &amp; CELL("address", Concepts!$A$19), "║╚═ Other instant ")</f>
        <v xml:space="preserve">║╚═ Other instant </v>
      </c>
      <c r="D13" s="76" t="s">
        <v>736</v>
      </c>
      <c r="E13" s="75"/>
      <c r="F13" s="76"/>
      <c r="G13" s="147" t="str">
        <f ca="1">HYPERLINK("#" &amp; CELL("address", Concepts!$A$41), "║╚═ Other MPS")</f>
        <v>║╚═ Other MPS</v>
      </c>
      <c r="H13" s="76" t="s">
        <v>731</v>
      </c>
      <c r="I13" s="75"/>
      <c r="J13" s="76"/>
      <c r="K13" s="76"/>
      <c r="L13" s="76"/>
      <c r="M13" s="77" t="s">
        <v>872</v>
      </c>
      <c r="N13" s="76"/>
      <c r="O13" s="75"/>
      <c r="P13" s="76"/>
      <c r="Q13" s="75"/>
      <c r="R13" s="76"/>
      <c r="S13" s="75"/>
      <c r="T13" s="76"/>
      <c r="U13" s="75"/>
      <c r="V13" s="140"/>
    </row>
    <row r="14" spans="1:22" s="33" customFormat="1" ht="14.1" customHeight="1" x14ac:dyDescent="0.2">
      <c r="A14" s="147" t="str">
        <f ca="1">HYPERLINK("#" &amp; CELL("address", Concepts!$A$16), "╚═ Other non-MFI")</f>
        <v>╚═ Other non-MFI</v>
      </c>
      <c r="B14" s="76" t="s">
        <v>472</v>
      </c>
      <c r="C14" s="145" t="str">
        <f ca="1">HYPERLINK("#" &amp; CELL("address", Concepts!$A$20), "On-us")</f>
        <v>On-us</v>
      </c>
      <c r="D14" s="76" t="s">
        <v>55</v>
      </c>
      <c r="E14" s="75"/>
      <c r="F14" s="75"/>
      <c r="G14" s="148" t="str">
        <f ca="1">HYPERLINK("#" &amp; CELL("address", Concepts!$A$37), "╠═ Other electronic single")</f>
        <v>╠═ Other electronic single</v>
      </c>
      <c r="H14" s="144" t="s">
        <v>2613</v>
      </c>
      <c r="I14" s="75"/>
      <c r="J14" s="75"/>
      <c r="K14" s="75"/>
      <c r="L14" s="75"/>
      <c r="M14" s="153" t="str">
        <f ca="1">HYPERLINK("#" &amp; CELL("address", Concepts!$A$54), "║╠═ Low value")</f>
        <v>║╠═ Low value</v>
      </c>
      <c r="N14" s="76" t="s">
        <v>1063</v>
      </c>
      <c r="O14" s="75"/>
      <c r="P14" s="75"/>
      <c r="Q14" s="75"/>
      <c r="R14" s="75"/>
      <c r="S14" s="75"/>
      <c r="T14" s="75"/>
      <c r="U14" s="75"/>
      <c r="V14" s="141"/>
    </row>
    <row r="15" spans="1:22" s="33" customFormat="1" ht="14.1" customHeight="1" x14ac:dyDescent="0.2">
      <c r="A15" s="148" t="str">
        <f ca="1">HYPERLINK("#" &amp; CELL("address", Concepts!$A$17), "Own account operation")</f>
        <v>Own account operation</v>
      </c>
      <c r="B15" s="76" t="s">
        <v>474</v>
      </c>
      <c r="C15" s="149" t="str">
        <f ca="1">HYPERLINK("#" &amp; CELL("address", Concepts!$A$23), "PSP LU")</f>
        <v>PSP LU</v>
      </c>
      <c r="D15" s="76" t="s">
        <v>60</v>
      </c>
      <c r="E15" s="75"/>
      <c r="F15" s="75"/>
      <c r="G15" s="96" t="str">
        <f ca="1">HYPERLINK("#" &amp; CELL("address", Concepts!$A$42), "Other non-electronic")</f>
        <v>Other non-electronic</v>
      </c>
      <c r="H15" s="76" t="s">
        <v>364</v>
      </c>
      <c r="I15" s="75"/>
      <c r="J15" s="75"/>
      <c r="K15" s="75"/>
      <c r="L15" s="75"/>
      <c r="M15" s="153" t="str">
        <f ca="1">HYPERLINK("#" &amp; CELL("address", Concepts!$A$55), "║╠═ Secure corporate payment processes and protocols")</f>
        <v>║╠═ Secure corporate payment processes and protocols</v>
      </c>
      <c r="N15" s="76" t="s">
        <v>1064</v>
      </c>
      <c r="O15" s="75"/>
      <c r="P15" s="75"/>
      <c r="Q15" s="75"/>
      <c r="R15" s="75"/>
      <c r="S15" s="75"/>
      <c r="T15" s="75"/>
      <c r="U15" s="75"/>
      <c r="V15" s="141"/>
    </row>
    <row r="16" spans="1:22" s="33" customFormat="1" ht="14.1" customHeight="1" x14ac:dyDescent="0.2">
      <c r="A16" s="145" t="str">
        <f ca="1">HYPERLINK("#" &amp; CELL("address", Concepts!$A$18), "Unknown")</f>
        <v>Unknown</v>
      </c>
      <c r="B16" s="76" t="s">
        <v>350</v>
      </c>
      <c r="C16" s="149" t="str">
        <f ca="1">HYPERLINK("#" &amp; CELL("address", Concepts!$A$24), "PSP non-LU")</f>
        <v>PSP non-LU</v>
      </c>
      <c r="D16" s="76" t="s">
        <v>62</v>
      </c>
      <c r="E16" s="75"/>
      <c r="F16" s="75"/>
      <c r="I16" s="75"/>
      <c r="J16" s="75"/>
      <c r="K16" s="75"/>
      <c r="L16" s="75"/>
      <c r="M16" s="153" t="str">
        <f ca="1">HYPERLINK("#" &amp; CELL("address", Concepts!$A$56), "║╚═ Transaction risk analysis")</f>
        <v>║╚═ Transaction risk analysis</v>
      </c>
      <c r="N16" s="76" t="s">
        <v>1065</v>
      </c>
      <c r="O16" s="75"/>
      <c r="P16" s="75"/>
      <c r="Q16" s="75"/>
      <c r="R16" s="75"/>
      <c r="S16" s="75"/>
      <c r="T16" s="75"/>
      <c r="U16" s="75"/>
      <c r="V16" s="141"/>
    </row>
    <row r="17" spans="1:22" s="33" customFormat="1" ht="14.1" customHeight="1" x14ac:dyDescent="0.2">
      <c r="A17" s="91"/>
      <c r="B17" s="91"/>
      <c r="C17" s="150" t="str">
        <f ca="1">HYPERLINK("#" &amp; CELL("address", Concepts!$A$25), "Other")</f>
        <v>Other</v>
      </c>
      <c r="D17" s="93" t="s">
        <v>364</v>
      </c>
      <c r="E17" s="92"/>
      <c r="F17" s="92"/>
      <c r="G17" s="92"/>
      <c r="H17" s="92"/>
      <c r="I17" s="92"/>
      <c r="J17" s="92"/>
      <c r="K17" s="92"/>
      <c r="L17" s="92"/>
      <c r="M17" s="249" t="str">
        <f ca="1">HYPERLINK("#" &amp; CELL("address", Concepts!$A$57), "Not applicable")</f>
        <v>Not applicable</v>
      </c>
      <c r="N17" s="93" t="s">
        <v>761</v>
      </c>
      <c r="O17" s="92"/>
      <c r="P17" s="92"/>
      <c r="Q17" s="92"/>
      <c r="R17" s="92"/>
      <c r="S17" s="92"/>
      <c r="T17" s="92"/>
      <c r="U17" s="91"/>
      <c r="V17" s="142"/>
    </row>
    <row r="18" spans="1:22" s="33" customFormat="1" ht="14.1" customHeight="1" x14ac:dyDescent="0.2">
      <c r="A18" s="31"/>
      <c r="B18" s="31"/>
      <c r="E18" s="31"/>
      <c r="F18" s="31"/>
      <c r="G18" s="31"/>
      <c r="H18" s="31"/>
      <c r="I18" s="31"/>
      <c r="J18" s="31"/>
      <c r="K18" s="31"/>
      <c r="L18" s="31"/>
      <c r="M18" s="43"/>
      <c r="N18" s="43"/>
      <c r="O18" s="31"/>
      <c r="P18" s="31"/>
      <c r="Q18" s="31"/>
      <c r="R18" s="31"/>
      <c r="S18" s="31"/>
      <c r="T18" s="31"/>
      <c r="U18" s="43"/>
      <c r="V18" s="43"/>
    </row>
    <row r="19" spans="1:22" s="33" customFormat="1" ht="14.1" customHeight="1" x14ac:dyDescent="0.2">
      <c r="A19" s="31"/>
      <c r="B19" s="31"/>
      <c r="C19" s="31"/>
      <c r="D19" s="31"/>
      <c r="E19" s="31"/>
      <c r="F19" s="31"/>
      <c r="G19" s="31"/>
      <c r="H19" s="31"/>
      <c r="I19" s="31"/>
      <c r="J19" s="31"/>
      <c r="K19" s="31"/>
      <c r="L19" s="31"/>
      <c r="M19" s="43"/>
      <c r="N19" s="43"/>
      <c r="O19" s="31"/>
      <c r="P19" s="31"/>
      <c r="Q19" s="31"/>
      <c r="R19" s="31"/>
      <c r="S19" s="31"/>
      <c r="T19" s="31"/>
      <c r="U19" s="43"/>
      <c r="V19" s="43"/>
    </row>
    <row r="20" spans="1:22" s="33" customFormat="1" ht="14.1" customHeight="1" x14ac:dyDescent="0.2">
      <c r="A20" s="31"/>
      <c r="B20" s="31"/>
      <c r="C20" s="31"/>
      <c r="D20" s="31"/>
      <c r="E20" s="31"/>
      <c r="F20" s="31"/>
      <c r="G20" s="31"/>
      <c r="H20" s="31"/>
      <c r="I20" s="31"/>
      <c r="J20" s="31"/>
      <c r="K20" s="31"/>
      <c r="L20" s="31"/>
      <c r="M20" s="43"/>
      <c r="N20" s="43"/>
      <c r="O20" s="31"/>
      <c r="P20" s="31"/>
      <c r="Q20" s="31"/>
      <c r="R20" s="31"/>
      <c r="S20" s="31"/>
      <c r="T20" s="31"/>
      <c r="U20" s="43"/>
      <c r="V20" s="43"/>
    </row>
    <row r="21" spans="1:22" s="33" customFormat="1" ht="14.1" customHeight="1" x14ac:dyDescent="0.2">
      <c r="A21" s="31"/>
      <c r="B21" s="31"/>
      <c r="C21" s="31"/>
      <c r="D21" s="31"/>
      <c r="E21" s="31"/>
      <c r="F21" s="31"/>
      <c r="G21" s="31"/>
      <c r="H21" s="31"/>
      <c r="I21" s="31"/>
      <c r="J21" s="31"/>
      <c r="K21" s="31"/>
      <c r="L21" s="31"/>
      <c r="M21" s="43"/>
      <c r="N21" s="43"/>
      <c r="O21" s="31"/>
      <c r="P21" s="31"/>
      <c r="Q21" s="31"/>
      <c r="R21" s="31"/>
      <c r="S21" s="31"/>
      <c r="T21" s="31"/>
      <c r="U21" s="43"/>
      <c r="V21" s="43"/>
    </row>
    <row r="22" spans="1:22" s="33" customFormat="1" ht="14.1" customHeight="1" x14ac:dyDescent="0.2">
      <c r="A22" s="31"/>
      <c r="B22" s="31"/>
      <c r="C22" s="31"/>
      <c r="D22" s="31"/>
      <c r="E22" s="31"/>
      <c r="F22" s="31"/>
      <c r="G22" s="31"/>
      <c r="H22" s="31"/>
      <c r="I22" s="31"/>
      <c r="J22" s="31"/>
      <c r="K22" s="31"/>
      <c r="L22" s="31"/>
      <c r="M22" s="43"/>
      <c r="N22" s="43"/>
      <c r="O22" s="31"/>
      <c r="P22" s="31"/>
      <c r="Q22" s="31"/>
      <c r="R22" s="31"/>
      <c r="S22" s="31"/>
      <c r="T22" s="31"/>
      <c r="U22" s="43"/>
      <c r="V22" s="43"/>
    </row>
    <row r="23" spans="1:22" s="33" customFormat="1" ht="23.25" customHeight="1" x14ac:dyDescent="0.2">
      <c r="A23" s="62" t="s">
        <v>1527</v>
      </c>
      <c r="C23" s="43"/>
      <c r="D23" s="65"/>
      <c r="E23" s="31"/>
      <c r="F23" s="31"/>
      <c r="G23" s="31"/>
      <c r="H23" s="31"/>
      <c r="I23" s="31"/>
      <c r="J23" s="31"/>
      <c r="K23" s="31"/>
      <c r="L23" s="31"/>
      <c r="M23" s="31"/>
      <c r="N23" s="31"/>
      <c r="O23" s="31"/>
      <c r="P23" s="31"/>
      <c r="Q23" s="31"/>
      <c r="R23" s="31"/>
      <c r="S23" s="31"/>
      <c r="T23" s="31"/>
      <c r="U23" s="31"/>
      <c r="V23" s="31"/>
    </row>
    <row r="24" spans="1:22" s="64" customFormat="1" ht="14.1" customHeight="1" x14ac:dyDescent="0.2">
      <c r="A24" s="51" t="str">
        <f t="shared" ref="A24:V24" si="0">IF(ISBLANK(A$3), "", A$3)</f>
        <v>Customer category</v>
      </c>
      <c r="B24" s="51" t="str">
        <f t="shared" si="0"/>
        <v/>
      </c>
      <c r="C24" s="51" t="str">
        <f t="shared" si="0"/>
        <v>Settlement channel</v>
      </c>
      <c r="D24" s="51" t="str">
        <f t="shared" si="0"/>
        <v/>
      </c>
      <c r="E24" s="51" t="str">
        <f t="shared" si="0"/>
        <v>Payment scheme</v>
      </c>
      <c r="F24" s="51" t="str">
        <f t="shared" si="0"/>
        <v/>
      </c>
      <c r="G24" s="51" t="str">
        <f t="shared" si="0"/>
        <v>Initiation channel</v>
      </c>
      <c r="H24" s="51" t="str">
        <f t="shared" si="0"/>
        <v/>
      </c>
      <c r="I24" s="51" t="str">
        <f t="shared" si="0"/>
        <v>Initiation sub-channel</v>
      </c>
      <c r="J24" s="51" t="str">
        <f t="shared" si="0"/>
        <v/>
      </c>
      <c r="K24" s="51" t="str">
        <f t="shared" si="0"/>
        <v>Initiator type</v>
      </c>
      <c r="L24" s="51" t="str">
        <f t="shared" si="0"/>
        <v/>
      </c>
      <c r="M24" s="51" t="str">
        <f t="shared" si="0"/>
        <v>SCA</v>
      </c>
      <c r="N24" s="51" t="s">
        <v>1590</v>
      </c>
      <c r="O24" s="51" t="s">
        <v>469</v>
      </c>
      <c r="P24" s="51" t="s">
        <v>1590</v>
      </c>
      <c r="Q24" s="51" t="s">
        <v>749</v>
      </c>
      <c r="R24" s="51" t="s">
        <v>1590</v>
      </c>
      <c r="S24" s="51" t="s">
        <v>361</v>
      </c>
      <c r="T24" s="51" t="s">
        <v>1590</v>
      </c>
      <c r="U24" s="51" t="s">
        <v>744</v>
      </c>
      <c r="V24" s="51" t="str">
        <f t="shared" si="0"/>
        <v/>
      </c>
    </row>
    <row r="25" spans="1:22" s="33" customFormat="1" ht="14.1" customHeight="1" x14ac:dyDescent="0.2">
      <c r="A25" s="31" t="s">
        <v>1078</v>
      </c>
      <c r="B25" s="31"/>
      <c r="C25" s="31" t="s">
        <v>1078</v>
      </c>
      <c r="D25" s="31"/>
      <c r="E25" s="31" t="s">
        <v>1078</v>
      </c>
      <c r="F25" s="31"/>
      <c r="G25" s="31" t="s">
        <v>1078</v>
      </c>
      <c r="H25" s="31"/>
      <c r="I25" s="31" t="s">
        <v>1078</v>
      </c>
      <c r="J25" s="31"/>
      <c r="K25" s="31" t="s">
        <v>1078</v>
      </c>
      <c r="L25" s="31"/>
      <c r="M25" s="31" t="s">
        <v>1078</v>
      </c>
      <c r="N25" s="31"/>
      <c r="O25" s="158" t="str">
        <f ca="1">HYPERLINK("#" &amp; CELL("address", Concepts!$A$60), "Issuance of a payment order by the fraudster ")</f>
        <v xml:space="preserve">Issuance of a payment order by the fraudster </v>
      </c>
      <c r="P25" s="35" t="s">
        <v>444</v>
      </c>
      <c r="Q25" s="31" t="s">
        <v>1078</v>
      </c>
      <c r="R25" s="31"/>
      <c r="S25" s="31" t="s">
        <v>1078</v>
      </c>
      <c r="T25" s="31"/>
      <c r="U25" s="31" t="s">
        <v>1078</v>
      </c>
      <c r="V25" s="31"/>
    </row>
    <row r="26" spans="1:22" s="33" customFormat="1" ht="14.1" customHeight="1" x14ac:dyDescent="0.2">
      <c r="A26" s="31"/>
      <c r="B26" s="31"/>
      <c r="C26" s="31"/>
      <c r="D26" s="31"/>
      <c r="E26" s="31"/>
      <c r="F26" s="31"/>
      <c r="G26" s="31"/>
      <c r="H26" s="31"/>
      <c r="I26" s="31"/>
      <c r="J26" s="31"/>
      <c r="K26" s="31"/>
      <c r="L26" s="31"/>
      <c r="M26" s="31"/>
      <c r="N26" s="31"/>
      <c r="O26" s="158" t="str">
        <f ca="1">HYPERLINK("#" &amp; CELL("address", Concepts!$A$61), "Modification of a payment order by the fraudster")</f>
        <v>Modification of a payment order by the fraudster</v>
      </c>
      <c r="P26" s="35" t="s">
        <v>1066</v>
      </c>
      <c r="Q26" s="31"/>
      <c r="R26" s="31"/>
      <c r="S26" s="31"/>
      <c r="T26" s="31"/>
      <c r="U26" s="31"/>
      <c r="V26" s="31"/>
    </row>
    <row r="27" spans="1:22" s="33" customFormat="1" ht="14.1" customHeight="1" x14ac:dyDescent="0.2">
      <c r="A27" s="31"/>
      <c r="B27" s="31"/>
      <c r="C27" s="31"/>
      <c r="D27" s="31"/>
      <c r="E27" s="31"/>
      <c r="F27" s="31"/>
      <c r="G27" s="31"/>
      <c r="H27" s="31"/>
      <c r="I27" s="31"/>
      <c r="J27" s="31"/>
      <c r="K27" s="31"/>
      <c r="L27" s="31"/>
      <c r="M27" s="31"/>
      <c r="N27" s="31"/>
      <c r="O27" s="158" t="str">
        <f ca="1">HYPERLINK("#" &amp; CELL("address", Concepts!$A$63), "Manipulation of the payer by the fraudster to issue a payment order")</f>
        <v>Manipulation of the payer by the fraudster to issue a payment order</v>
      </c>
      <c r="P27" s="35" t="s">
        <v>1082</v>
      </c>
      <c r="Q27" s="31"/>
      <c r="R27" s="31"/>
      <c r="S27" s="31"/>
      <c r="T27" s="31"/>
      <c r="U27" s="31"/>
      <c r="V27" s="31"/>
    </row>
    <row r="28" spans="1:22" s="33" customFormat="1" ht="14.1" customHeight="1" x14ac:dyDescent="0.2">
      <c r="A28" s="31"/>
      <c r="B28" s="31"/>
      <c r="C28" s="31"/>
      <c r="D28" s="31"/>
      <c r="E28" s="31"/>
      <c r="F28" s="31"/>
      <c r="G28" s="31"/>
      <c r="H28" s="31"/>
      <c r="I28" s="31"/>
      <c r="J28" s="31"/>
      <c r="K28" s="31"/>
      <c r="L28" s="31"/>
      <c r="M28" s="31"/>
      <c r="N28" s="31"/>
      <c r="O28" s="31"/>
      <c r="P28" s="31"/>
      <c r="Q28" s="31" t="str">
        <f t="shared" ref="Q28:V34" si="1">IF(Q7="", "", Q7)</f>
        <v/>
      </c>
      <c r="R28" s="31" t="str">
        <f t="shared" si="1"/>
        <v/>
      </c>
      <c r="S28" s="31" t="str">
        <f t="shared" si="1"/>
        <v/>
      </c>
      <c r="T28" s="31" t="str">
        <f t="shared" si="1"/>
        <v/>
      </c>
      <c r="U28" s="31" t="str">
        <f t="shared" si="1"/>
        <v/>
      </c>
      <c r="V28" s="31" t="str">
        <f t="shared" si="1"/>
        <v/>
      </c>
    </row>
    <row r="29" spans="1:22" s="33" customFormat="1" ht="14.1" customHeight="1" x14ac:dyDescent="0.2">
      <c r="A29" s="31"/>
      <c r="B29" s="31"/>
      <c r="C29" s="31"/>
      <c r="D29" s="31"/>
      <c r="E29" s="31"/>
      <c r="F29" s="31"/>
      <c r="G29" s="31"/>
      <c r="H29" s="31"/>
      <c r="I29" s="31"/>
      <c r="J29" s="31"/>
      <c r="K29" s="31"/>
      <c r="L29" s="31"/>
      <c r="M29" s="31"/>
      <c r="N29" s="31"/>
      <c r="O29" s="31"/>
      <c r="P29" s="31"/>
      <c r="Q29" s="31" t="str">
        <f t="shared" si="1"/>
        <v/>
      </c>
      <c r="R29" s="31" t="str">
        <f t="shared" si="1"/>
        <v/>
      </c>
      <c r="S29" s="31" t="str">
        <f t="shared" si="1"/>
        <v/>
      </c>
      <c r="T29" s="31" t="str">
        <f t="shared" si="1"/>
        <v/>
      </c>
      <c r="U29" s="31" t="str">
        <f t="shared" si="1"/>
        <v/>
      </c>
      <c r="V29" s="31" t="str">
        <f t="shared" si="1"/>
        <v/>
      </c>
    </row>
    <row r="30" spans="1:22" s="33" customFormat="1" ht="14.1" customHeight="1" x14ac:dyDescent="0.2">
      <c r="A30" s="31"/>
      <c r="B30" s="31"/>
      <c r="C30" s="31"/>
      <c r="D30" s="31"/>
      <c r="E30" s="31"/>
      <c r="F30" s="31"/>
      <c r="G30" s="31"/>
      <c r="H30" s="31"/>
      <c r="I30" s="31"/>
      <c r="J30" s="31"/>
      <c r="K30" s="31"/>
      <c r="L30" s="31"/>
      <c r="M30" s="31"/>
      <c r="N30" s="31"/>
      <c r="O30" s="31"/>
      <c r="P30" s="31"/>
      <c r="Q30" s="31" t="str">
        <f t="shared" si="1"/>
        <v/>
      </c>
      <c r="R30" s="31" t="str">
        <f t="shared" si="1"/>
        <v/>
      </c>
      <c r="S30" s="31" t="str">
        <f t="shared" si="1"/>
        <v/>
      </c>
      <c r="T30" s="31" t="str">
        <f t="shared" si="1"/>
        <v/>
      </c>
      <c r="U30" s="31" t="str">
        <f t="shared" si="1"/>
        <v/>
      </c>
      <c r="V30" s="31" t="str">
        <f t="shared" si="1"/>
        <v/>
      </c>
    </row>
    <row r="31" spans="1:22" s="33" customFormat="1" ht="14.1" customHeight="1" x14ac:dyDescent="0.2">
      <c r="A31" s="31"/>
      <c r="B31" s="31"/>
      <c r="C31" s="31"/>
      <c r="D31" s="31"/>
      <c r="E31" s="31"/>
      <c r="F31" s="31"/>
      <c r="G31" s="31"/>
      <c r="H31" s="31"/>
      <c r="I31" s="31"/>
      <c r="J31" s="31"/>
      <c r="K31" s="31"/>
      <c r="L31" s="31"/>
      <c r="M31" s="31"/>
      <c r="N31" s="31"/>
      <c r="O31" s="31"/>
      <c r="P31" s="31"/>
      <c r="Q31" s="31" t="str">
        <f t="shared" si="1"/>
        <v/>
      </c>
      <c r="R31" s="31" t="str">
        <f t="shared" si="1"/>
        <v/>
      </c>
      <c r="S31" s="31" t="str">
        <f t="shared" si="1"/>
        <v/>
      </c>
      <c r="T31" s="31" t="str">
        <f t="shared" si="1"/>
        <v/>
      </c>
      <c r="U31" s="31" t="str">
        <f t="shared" si="1"/>
        <v/>
      </c>
      <c r="V31" s="31" t="str">
        <f t="shared" si="1"/>
        <v/>
      </c>
    </row>
    <row r="32" spans="1:22" s="33" customFormat="1" ht="14.1" customHeight="1" x14ac:dyDescent="0.2">
      <c r="A32" s="31"/>
      <c r="B32" s="31"/>
      <c r="C32" s="31"/>
      <c r="D32" s="31"/>
      <c r="E32" s="31"/>
      <c r="F32" s="31"/>
      <c r="G32" s="31"/>
      <c r="H32" s="31"/>
      <c r="I32" s="31"/>
      <c r="J32" s="31"/>
      <c r="K32" s="31"/>
      <c r="L32" s="31"/>
      <c r="M32" s="31"/>
      <c r="N32" s="31"/>
      <c r="O32" s="31"/>
      <c r="P32" s="31"/>
      <c r="Q32" s="31" t="str">
        <f t="shared" si="1"/>
        <v/>
      </c>
      <c r="R32" s="31" t="str">
        <f t="shared" si="1"/>
        <v/>
      </c>
      <c r="S32" s="31" t="str">
        <f t="shared" si="1"/>
        <v/>
      </c>
      <c r="T32" s="31" t="str">
        <f t="shared" si="1"/>
        <v/>
      </c>
      <c r="U32" s="31" t="str">
        <f t="shared" si="1"/>
        <v/>
      </c>
      <c r="V32" s="31" t="str">
        <f t="shared" si="1"/>
        <v/>
      </c>
    </row>
    <row r="33" spans="1:22" s="33" customFormat="1" ht="13.5" customHeight="1" x14ac:dyDescent="0.2">
      <c r="A33" s="31"/>
      <c r="B33" s="31"/>
      <c r="C33" s="31"/>
      <c r="D33" s="31"/>
      <c r="E33" s="31"/>
      <c r="F33" s="31"/>
      <c r="G33" s="31"/>
      <c r="H33" s="31"/>
      <c r="I33" s="31"/>
      <c r="J33" s="31"/>
      <c r="K33" s="31"/>
      <c r="L33" s="31"/>
      <c r="M33" s="31"/>
      <c r="N33" s="31"/>
      <c r="O33" s="31"/>
      <c r="P33" s="31"/>
      <c r="Q33" s="31" t="str">
        <f t="shared" si="1"/>
        <v/>
      </c>
      <c r="R33" s="31" t="str">
        <f t="shared" si="1"/>
        <v/>
      </c>
      <c r="S33" s="31" t="str">
        <f t="shared" si="1"/>
        <v/>
      </c>
      <c r="T33" s="31" t="str">
        <f t="shared" si="1"/>
        <v/>
      </c>
      <c r="U33" s="31" t="str">
        <f t="shared" si="1"/>
        <v/>
      </c>
      <c r="V33" s="31" t="str">
        <f t="shared" si="1"/>
        <v/>
      </c>
    </row>
    <row r="34" spans="1:22" s="33" customFormat="1" ht="13.5" customHeight="1" x14ac:dyDescent="0.2">
      <c r="A34" s="31"/>
      <c r="B34" s="31"/>
      <c r="C34" s="31"/>
      <c r="D34" s="31"/>
      <c r="E34" s="31"/>
      <c r="F34" s="31"/>
      <c r="G34" s="31"/>
      <c r="H34" s="31"/>
      <c r="I34" s="31"/>
      <c r="J34" s="31"/>
      <c r="K34" s="31"/>
      <c r="L34" s="31"/>
      <c r="M34" s="31"/>
      <c r="N34" s="31"/>
      <c r="O34" s="31"/>
      <c r="P34" s="31"/>
      <c r="Q34" s="31" t="str">
        <f t="shared" si="1"/>
        <v/>
      </c>
      <c r="R34" s="31" t="str">
        <f t="shared" si="1"/>
        <v/>
      </c>
      <c r="S34" s="31" t="str">
        <f t="shared" si="1"/>
        <v/>
      </c>
      <c r="T34" s="31" t="str">
        <f t="shared" si="1"/>
        <v/>
      </c>
      <c r="U34" s="31" t="str">
        <f t="shared" si="1"/>
        <v/>
      </c>
      <c r="V34" s="31" t="str">
        <f t="shared" si="1"/>
        <v/>
      </c>
    </row>
    <row r="35" spans="1:22" s="33" customFormat="1" ht="13.5" customHeight="1" x14ac:dyDescent="0.2">
      <c r="A35" s="31"/>
      <c r="B35" s="31"/>
      <c r="C35" s="31"/>
      <c r="D35" s="31"/>
      <c r="E35" s="31"/>
      <c r="F35" s="31"/>
      <c r="G35" s="31"/>
      <c r="H35" s="31"/>
      <c r="I35" s="31"/>
      <c r="J35" s="31"/>
      <c r="K35" s="31"/>
      <c r="L35" s="31"/>
      <c r="M35" s="31"/>
      <c r="N35" s="31"/>
      <c r="O35" s="31"/>
      <c r="P35" s="31"/>
      <c r="Q35" s="31"/>
      <c r="R35" s="31"/>
      <c r="S35" s="31"/>
      <c r="T35" s="31"/>
    </row>
    <row r="36" spans="1:22" ht="13.5" customHeight="1" x14ac:dyDescent="0.2">
      <c r="U36"/>
    </row>
    <row r="37" spans="1:22" ht="13.5" customHeight="1" x14ac:dyDescent="0.2">
      <c r="S37"/>
      <c r="T37"/>
      <c r="U37"/>
    </row>
    <row r="38" spans="1:22" ht="13.5" customHeight="1" x14ac:dyDescent="0.2">
      <c r="A38" s="39" t="s">
        <v>476</v>
      </c>
      <c r="U38"/>
    </row>
    <row r="39" spans="1:22" ht="13.5" customHeight="1" x14ac:dyDescent="0.2">
      <c r="A39" s="42" t="s">
        <v>1846</v>
      </c>
    </row>
    <row r="40" spans="1:22" ht="13.5" customHeight="1" x14ac:dyDescent="0.2">
      <c r="A40" s="36" t="str">
        <f ca="1">HYPERLINK("#" &amp; CELL("address", 'V1.110+V1.110-F'!$A1), "Reporting PSPs in their capacity as PISP should report in the table V1.110 and V1.110-F.")</f>
        <v>Reporting PSPs in their capacity as PISP should report in the table V1.110 and V1.110-F.</v>
      </c>
      <c r="B40" s="87"/>
      <c r="C40" s="87"/>
      <c r="D40" s="88"/>
      <c r="E40" s="88"/>
    </row>
    <row r="41" spans="1:22" ht="13.5" customHeight="1" x14ac:dyDescent="0.2">
      <c r="A41" s="45" t="s">
        <v>2662</v>
      </c>
      <c r="B41" s="87"/>
      <c r="C41" s="87"/>
      <c r="D41" s="88"/>
      <c r="E41" s="88"/>
      <c r="F41" s="199"/>
      <c r="G41" s="199"/>
      <c r="H41" s="199"/>
      <c r="I41" s="199"/>
      <c r="J41" s="199"/>
      <c r="K41" s="199"/>
      <c r="L41" s="199"/>
      <c r="M41" s="199"/>
      <c r="N41" s="199"/>
      <c r="O41" s="199"/>
      <c r="P41" s="199"/>
      <c r="Q41" s="199"/>
      <c r="R41" s="199"/>
      <c r="S41" s="199"/>
      <c r="T41" s="199"/>
      <c r="U41" s="199"/>
    </row>
    <row r="42" spans="1:22" ht="13.5" customHeight="1" x14ac:dyDescent="0.2">
      <c r="A42" s="21" t="s">
        <v>897</v>
      </c>
    </row>
    <row r="43" spans="1:22" ht="13.5" customHeight="1" x14ac:dyDescent="0.2">
      <c r="A43" s="36" t="str">
        <f ca="1">HYPERLINK("#" &amp; CELL("address", Concepts!$A$74), "See the concept 'Credit transfer'.")</f>
        <v>See the concept 'Credit transfer'.</v>
      </c>
      <c r="B43" s="199"/>
      <c r="C43" s="199"/>
      <c r="D43" s="199"/>
      <c r="E43" s="199"/>
      <c r="F43" s="199"/>
      <c r="G43" s="199"/>
      <c r="H43" s="199"/>
      <c r="I43" s="199"/>
      <c r="J43" s="199"/>
      <c r="K43" s="199"/>
      <c r="L43" s="199"/>
      <c r="M43" s="199"/>
      <c r="N43" s="199"/>
      <c r="O43" s="199"/>
      <c r="P43" s="199"/>
      <c r="Q43" s="199"/>
      <c r="R43" s="199"/>
      <c r="S43" s="199"/>
      <c r="T43" s="199"/>
      <c r="U43" s="199"/>
    </row>
    <row r="44" spans="1:22" ht="13.5" customHeight="1" x14ac:dyDescent="0.2">
      <c r="A44" s="36" t="str">
        <f ca="1">HYPERLINK("#" &amp; CELL("address", Concepts!$A$21), "See the concept 'Direct participant'.")</f>
        <v>See the concept 'Direct participant'.</v>
      </c>
      <c r="B44" s="199"/>
      <c r="C44" s="199"/>
      <c r="D44" s="199"/>
      <c r="E44" s="199"/>
      <c r="F44" s="199"/>
      <c r="G44" s="199"/>
      <c r="H44" s="199"/>
      <c r="I44" s="199"/>
      <c r="J44" s="199"/>
      <c r="K44" s="199"/>
      <c r="L44" s="199"/>
      <c r="M44" s="199"/>
      <c r="N44" s="199"/>
      <c r="O44" s="199"/>
      <c r="P44" s="199"/>
      <c r="Q44" s="199"/>
      <c r="R44" s="199"/>
      <c r="S44" s="199"/>
      <c r="T44" s="199"/>
      <c r="U44" s="199"/>
    </row>
    <row r="45" spans="1:22" x14ac:dyDescent="0.2">
      <c r="A45" s="36" t="str">
        <f ca="1">HYPERLINK("#" &amp; CELL("address", Concepts!$A$22), "See the concept 'Indirect participant'.")</f>
        <v>See the concept 'Indirect participant'.</v>
      </c>
    </row>
    <row r="46" spans="1:22" x14ac:dyDescent="0.2">
      <c r="A46" s="36" t="str">
        <f ca="1">HYPERLINK("#" &amp; CELL("address", Concepts!$A$202), "See the concept 'Payment account'.")</f>
        <v>See the concept 'Payment account'.</v>
      </c>
      <c r="B46" s="199"/>
      <c r="C46" s="199"/>
      <c r="D46" s="199"/>
      <c r="E46" s="199"/>
      <c r="F46" s="199"/>
      <c r="G46" s="199"/>
      <c r="H46" s="199"/>
      <c r="I46" s="199"/>
      <c r="J46" s="199"/>
      <c r="K46" s="199"/>
      <c r="L46" s="199"/>
      <c r="M46" s="199"/>
      <c r="N46" s="199"/>
      <c r="O46" s="199"/>
      <c r="P46" s="199"/>
      <c r="Q46" s="199"/>
      <c r="R46" s="199"/>
      <c r="S46" s="199"/>
      <c r="T46" s="199"/>
      <c r="U46" s="199"/>
    </row>
    <row r="48" spans="1:22" ht="20.25" x14ac:dyDescent="0.2">
      <c r="A48" s="34" t="s">
        <v>1749</v>
      </c>
    </row>
    <row r="49" spans="1:22" ht="15.75" x14ac:dyDescent="0.2">
      <c r="A49" s="190" t="s">
        <v>2521</v>
      </c>
    </row>
    <row r="50" spans="1:22" s="64" customFormat="1" ht="13.5" customHeight="1" x14ac:dyDescent="0.2">
      <c r="A50" s="51" t="s">
        <v>906</v>
      </c>
      <c r="B50" s="51"/>
      <c r="C50" s="51" t="str">
        <f t="shared" ref="C50:V50" si="2">IF(ISBLANK(C$3), "", C$3)</f>
        <v>Settlement channel</v>
      </c>
      <c r="D50" s="51"/>
      <c r="E50" s="51" t="str">
        <f t="shared" si="2"/>
        <v>Payment scheme</v>
      </c>
      <c r="F50" s="51"/>
      <c r="G50" s="51" t="str">
        <f t="shared" si="2"/>
        <v>Initiation channel</v>
      </c>
      <c r="H50" s="51" t="str">
        <f t="shared" si="2"/>
        <v/>
      </c>
      <c r="I50" s="51" t="str">
        <f t="shared" si="2"/>
        <v>Initiation sub-channel</v>
      </c>
      <c r="J50" s="51"/>
      <c r="K50" s="51" t="str">
        <f t="shared" si="2"/>
        <v>Initiator type</v>
      </c>
      <c r="L50" s="51"/>
      <c r="M50" s="51" t="str">
        <f t="shared" si="2"/>
        <v>SCA</v>
      </c>
      <c r="N50" s="51"/>
      <c r="O50" s="51" t="str">
        <f t="shared" si="2"/>
        <v>Fraud type</v>
      </c>
      <c r="P50" s="51" t="str">
        <f t="shared" si="2"/>
        <v/>
      </c>
      <c r="Q50" s="51" t="str">
        <f t="shared" si="2"/>
        <v>Country of creditor's PSP</v>
      </c>
      <c r="R50" s="51" t="str">
        <f t="shared" si="2"/>
        <v/>
      </c>
      <c r="S50" s="51" t="str">
        <f t="shared" si="2"/>
        <v>Currency</v>
      </c>
      <c r="T50" s="51" t="str">
        <f t="shared" si="2"/>
        <v/>
      </c>
      <c r="U50" s="51" t="str">
        <f t="shared" si="2"/>
        <v>Metric</v>
      </c>
      <c r="V50" s="51" t="str">
        <f t="shared" si="2"/>
        <v/>
      </c>
    </row>
    <row r="51" spans="1:22" ht="15" x14ac:dyDescent="0.2">
      <c r="A51" s="161" t="str">
        <f ca="1">HYPERLINK("#" &amp; CELL("address", Concepts!$A$14), "Households and NPISHs")</f>
        <v>Households and NPISHs</v>
      </c>
      <c r="B51" s="49"/>
      <c r="C51" s="21" t="s">
        <v>52</v>
      </c>
      <c r="D51" s="49"/>
      <c r="E51" s="161" t="str">
        <f ca="1">HYPERLINK("#" &amp; CELL("address", Concepts!$A$26), "SEPA credit transfer ")</f>
        <v xml:space="preserve">SEPA credit transfer </v>
      </c>
      <c r="F51" s="49"/>
      <c r="G51" s="161" t="str">
        <f ca="1">HYPERLINK("#" &amp; CELL("address", Concepts!$A$35), "Web banking payment")</f>
        <v>Web banking payment</v>
      </c>
      <c r="H51" s="49"/>
      <c r="I51" s="161" t="str">
        <f ca="1">HYPERLINK("#" &amp; CELL("address", Concepts!$A$43), "Remote")</f>
        <v>Remote</v>
      </c>
      <c r="J51" s="49"/>
      <c r="K51" s="160" t="str">
        <f ca="1">HYPERLINK("#" &amp; CELL("address", Concepts!$A$45), "Customer")</f>
        <v>Customer</v>
      </c>
      <c r="L51" s="49"/>
      <c r="M51" s="161" t="str">
        <f ca="1">HYPERLINK("#" &amp; CELL("address", Concepts!$A$47), "SCA used")</f>
        <v>SCA used</v>
      </c>
      <c r="N51" s="49"/>
    </row>
    <row r="53" spans="1:22" ht="15.75" x14ac:dyDescent="0.2">
      <c r="A53" s="190" t="s">
        <v>2518</v>
      </c>
    </row>
    <row r="54" spans="1:22" ht="15.75" x14ac:dyDescent="0.2">
      <c r="A54" s="191" t="s">
        <v>2370</v>
      </c>
    </row>
    <row r="55" spans="1:22" s="64" customFormat="1" ht="13.5" customHeight="1" x14ac:dyDescent="0.2">
      <c r="A55" s="51" t="s">
        <v>906</v>
      </c>
      <c r="B55" s="51"/>
      <c r="C55" s="51" t="str">
        <f t="shared" ref="C55:V55" si="3">IF(ISBLANK(C$3), "", C$3)</f>
        <v>Settlement channel</v>
      </c>
      <c r="D55" s="51"/>
      <c r="E55" s="51" t="str">
        <f t="shared" si="3"/>
        <v>Payment scheme</v>
      </c>
      <c r="F55" s="51"/>
      <c r="G55" s="51" t="str">
        <f t="shared" si="3"/>
        <v>Initiation channel</v>
      </c>
      <c r="H55" s="51"/>
      <c r="I55" s="51" t="str">
        <f t="shared" si="3"/>
        <v>Initiation sub-channel</v>
      </c>
      <c r="J55" s="51"/>
      <c r="K55" s="51" t="str">
        <f t="shared" si="3"/>
        <v>Initiator type</v>
      </c>
      <c r="L55" s="51"/>
      <c r="M55" s="51" t="str">
        <f t="shared" si="3"/>
        <v>SCA</v>
      </c>
      <c r="N55" s="51"/>
      <c r="O55" s="51" t="str">
        <f t="shared" si="3"/>
        <v>Fraud type</v>
      </c>
      <c r="P55" s="51" t="str">
        <f t="shared" si="3"/>
        <v/>
      </c>
      <c r="Q55" s="51" t="str">
        <f t="shared" si="3"/>
        <v>Country of creditor's PSP</v>
      </c>
      <c r="R55" s="51" t="str">
        <f t="shared" si="3"/>
        <v/>
      </c>
      <c r="S55" s="51" t="str">
        <f t="shared" si="3"/>
        <v>Currency</v>
      </c>
      <c r="T55" s="51" t="str">
        <f t="shared" si="3"/>
        <v/>
      </c>
      <c r="U55" s="51" t="str">
        <f t="shared" si="3"/>
        <v>Metric</v>
      </c>
      <c r="V55" s="51" t="str">
        <f t="shared" si="3"/>
        <v/>
      </c>
    </row>
    <row r="56" spans="1:22" ht="15" x14ac:dyDescent="0.2">
      <c r="A56" s="161" t="str">
        <f ca="1">HYPERLINK("#" &amp; CELL("address", Concepts!$A$14), "Households and NPISHs")</f>
        <v>Households and NPISHs</v>
      </c>
      <c r="B56" s="49"/>
      <c r="C56" s="161" t="str">
        <f ca="1">HYPERLINK("#" &amp; CELL("address", Concepts!$A$20), "On-us")</f>
        <v>On-us</v>
      </c>
      <c r="D56" s="49"/>
      <c r="E56" s="161" t="str">
        <f ca="1">HYPERLINK("#" &amp; CELL("address", Concepts!$A$29), "Not applicable")</f>
        <v>Not applicable</v>
      </c>
      <c r="F56" s="49"/>
      <c r="G56" s="161" t="str">
        <f ca="1">HYPERLINK("#" &amp; CELL("address", Concepts!$A$30), "Paper")</f>
        <v>Paper</v>
      </c>
      <c r="H56" s="49"/>
      <c r="I56" s="161" t="str">
        <f ca="1">HYPERLINK("#" &amp; CELL("address", Concepts!$A$44), "Non-remote")</f>
        <v>Non-remote</v>
      </c>
      <c r="J56" s="49"/>
      <c r="K56" s="161" t="str">
        <f ca="1">HYPERLINK("#" &amp; CELL("address", Concepts!$A$45), "Customer ")</f>
        <v xml:space="preserve">Customer </v>
      </c>
      <c r="L56" s="49"/>
      <c r="M56" s="161" t="str">
        <f ca="1">HYPERLINK("#" &amp; CELL("address", Concepts!$A$57), "Not applicable")</f>
        <v>Not applicable</v>
      </c>
      <c r="N56" s="49"/>
    </row>
    <row r="58" spans="1:22" ht="15.75" x14ac:dyDescent="0.2">
      <c r="A58" s="190" t="s">
        <v>2655</v>
      </c>
    </row>
    <row r="59" spans="1:22" s="64" customFormat="1" ht="13.5" customHeight="1" x14ac:dyDescent="0.2">
      <c r="A59" s="51" t="s">
        <v>906</v>
      </c>
      <c r="B59" s="51"/>
      <c r="C59" s="51" t="str">
        <f t="shared" ref="C59:V59" si="4">IF(ISBLANK(C$3), "", C$3)</f>
        <v>Settlement channel</v>
      </c>
      <c r="D59" s="51"/>
      <c r="E59" s="51" t="str">
        <f t="shared" si="4"/>
        <v>Payment scheme</v>
      </c>
      <c r="F59" s="51"/>
      <c r="G59" s="51" t="str">
        <f t="shared" si="4"/>
        <v>Initiation channel</v>
      </c>
      <c r="H59" s="51"/>
      <c r="I59" s="51" t="str">
        <f t="shared" si="4"/>
        <v>Initiation sub-channel</v>
      </c>
      <c r="J59" s="51"/>
      <c r="K59" s="51" t="str">
        <f t="shared" si="4"/>
        <v>Initiator type</v>
      </c>
      <c r="L59" s="51"/>
      <c r="M59" s="51" t="str">
        <f t="shared" si="4"/>
        <v>SCA</v>
      </c>
      <c r="N59" s="51"/>
      <c r="O59" s="51" t="str">
        <f t="shared" si="4"/>
        <v>Fraud type</v>
      </c>
      <c r="P59" s="51" t="str">
        <f t="shared" si="4"/>
        <v/>
      </c>
      <c r="Q59" s="51" t="str">
        <f t="shared" si="4"/>
        <v>Country of creditor's PSP</v>
      </c>
      <c r="R59" s="51" t="str">
        <f t="shared" si="4"/>
        <v/>
      </c>
      <c r="S59" s="51" t="str">
        <f t="shared" si="4"/>
        <v>Currency</v>
      </c>
      <c r="T59" s="51" t="str">
        <f t="shared" si="4"/>
        <v/>
      </c>
      <c r="U59" s="51" t="str">
        <f t="shared" si="4"/>
        <v>Metric</v>
      </c>
      <c r="V59" s="51" t="str">
        <f t="shared" si="4"/>
        <v/>
      </c>
    </row>
    <row r="60" spans="1:22" ht="15" x14ac:dyDescent="0.2">
      <c r="A60" s="161" t="str">
        <f ca="1">HYPERLINK("#" &amp; CELL("address", Concepts!$A$17), "Own account operation")</f>
        <v>Own account operation</v>
      </c>
      <c r="B60" s="49"/>
      <c r="C60" s="21" t="s">
        <v>2657</v>
      </c>
      <c r="D60" s="49"/>
      <c r="E60" s="161" t="str">
        <f ca="1">HYPERLINK("#" &amp; CELL("address", Concepts!$A$28), "Non-SEPA scheme")</f>
        <v>Non-SEPA scheme</v>
      </c>
      <c r="F60" s="49"/>
      <c r="G60" s="161" t="str">
        <f ca="1">HYPERLINK("#" &amp; CELL("address", Concepts!$A$32), "Electronic file/batch")</f>
        <v>Electronic file/batch</v>
      </c>
      <c r="H60" s="49"/>
      <c r="I60" s="161" t="str">
        <f ca="1">HYPERLINK("#" &amp; CELL("address", Concepts!$A$43), "Remote")</f>
        <v>Remote</v>
      </c>
      <c r="J60" s="49"/>
      <c r="K60" s="161" t="str">
        <f ca="1">HYPERLINK("#" &amp; CELL("address", Concepts!$A$45), "Customer ")</f>
        <v xml:space="preserve">Customer </v>
      </c>
      <c r="L60" s="49"/>
      <c r="M60" s="161" t="str">
        <f ca="1">HYPERLINK("#" &amp; CELL("address", Concepts!$A$47), "SCA used")</f>
        <v>SCA used</v>
      </c>
      <c r="N60" s="49"/>
    </row>
    <row r="62" spans="1:22" ht="15.75" x14ac:dyDescent="0.2">
      <c r="A62" s="190" t="s">
        <v>2523</v>
      </c>
    </row>
    <row r="63" spans="1:22" s="64" customFormat="1" ht="13.5" customHeight="1" x14ac:dyDescent="0.2">
      <c r="A63" s="51" t="s">
        <v>906</v>
      </c>
      <c r="B63" s="51"/>
      <c r="C63" s="51" t="str">
        <f t="shared" ref="C63:V63" si="5">IF(ISBLANK(C$3), "", C$3)</f>
        <v>Settlement channel</v>
      </c>
      <c r="D63" s="51"/>
      <c r="E63" s="51" t="str">
        <f t="shared" si="5"/>
        <v>Payment scheme</v>
      </c>
      <c r="F63" s="51"/>
      <c r="G63" s="51" t="str">
        <f t="shared" si="5"/>
        <v>Initiation channel</v>
      </c>
      <c r="H63" s="51"/>
      <c r="I63" s="51" t="str">
        <f t="shared" si="5"/>
        <v>Initiation sub-channel</v>
      </c>
      <c r="J63" s="51"/>
      <c r="K63" s="51" t="str">
        <f t="shared" si="5"/>
        <v>Initiator type</v>
      </c>
      <c r="L63" s="51"/>
      <c r="M63" s="51" t="str">
        <f t="shared" si="5"/>
        <v>SCA</v>
      </c>
      <c r="N63" s="51"/>
      <c r="O63" s="51" t="str">
        <f t="shared" si="5"/>
        <v>Fraud type</v>
      </c>
      <c r="P63" s="51" t="str">
        <f t="shared" si="5"/>
        <v/>
      </c>
      <c r="Q63" s="51" t="str">
        <f t="shared" si="5"/>
        <v>Country of creditor's PSP</v>
      </c>
      <c r="R63" s="51" t="str">
        <f t="shared" si="5"/>
        <v/>
      </c>
      <c r="S63" s="51" t="str">
        <f t="shared" si="5"/>
        <v>Currency</v>
      </c>
      <c r="T63" s="51" t="str">
        <f t="shared" si="5"/>
        <v/>
      </c>
      <c r="U63" s="51" t="str">
        <f t="shared" si="5"/>
        <v>Metric</v>
      </c>
      <c r="V63" s="51" t="str">
        <f t="shared" si="5"/>
        <v/>
      </c>
    </row>
    <row r="64" spans="1:22" ht="15" x14ac:dyDescent="0.2">
      <c r="A64" s="161" t="str">
        <f ca="1">HYPERLINK("#" &amp; CELL("address", Concepts!$A$14), "Households and NPISHs")</f>
        <v>Households and NPISHs</v>
      </c>
      <c r="B64" s="49"/>
      <c r="C64" s="21" t="s">
        <v>54</v>
      </c>
      <c r="D64" s="49"/>
      <c r="E64" s="161" t="str">
        <f ca="1">HYPERLINK("#" &amp; CELL("address", Concepts!$A$26), "SEPA credit transfer")</f>
        <v>SEPA credit transfer</v>
      </c>
      <c r="F64" s="49"/>
      <c r="G64" s="161" t="str">
        <f ca="1">HYPERLINK("#" &amp; CELL("address", Concepts!$A$41), "Other MPS")</f>
        <v>Other MPS</v>
      </c>
      <c r="H64" s="49"/>
      <c r="I64" s="161" t="str">
        <f ca="1">HYPERLINK("#" &amp; CELL("address", Concepts!$A$44), "Non-remote")</f>
        <v>Non-remote</v>
      </c>
      <c r="J64" s="49"/>
      <c r="K64" s="161" t="str">
        <f ca="1">HYPERLINK("#" &amp; CELL("address", Concepts!$A$46), "PISP")</f>
        <v>PISP</v>
      </c>
      <c r="L64" s="49"/>
      <c r="M64" s="161" t="str">
        <f ca="1">HYPERLINK("#" &amp; CELL("address", Concepts!$A$52), "Contactless low value")</f>
        <v>Contactless low value</v>
      </c>
      <c r="N64" s="49"/>
    </row>
    <row r="66" spans="1:22" ht="15.75" x14ac:dyDescent="0.2">
      <c r="A66" s="190" t="s">
        <v>2519</v>
      </c>
    </row>
    <row r="67" spans="1:22" s="64" customFormat="1" ht="13.5" customHeight="1" x14ac:dyDescent="0.2">
      <c r="A67" s="51" t="s">
        <v>906</v>
      </c>
      <c r="B67" s="51"/>
      <c r="C67" s="51" t="str">
        <f t="shared" ref="C67:V67" si="6">IF(ISBLANK(C$3), "", C$3)</f>
        <v>Settlement channel</v>
      </c>
      <c r="D67" s="51"/>
      <c r="E67" s="51" t="str">
        <f t="shared" si="6"/>
        <v>Payment scheme</v>
      </c>
      <c r="F67" s="51"/>
      <c r="G67" s="51" t="str">
        <f t="shared" si="6"/>
        <v>Initiation channel</v>
      </c>
      <c r="H67" s="51"/>
      <c r="I67" s="51" t="str">
        <f t="shared" si="6"/>
        <v>Initiation sub-channel</v>
      </c>
      <c r="J67" s="51"/>
      <c r="K67" s="51" t="str">
        <f t="shared" si="6"/>
        <v>Initiator type</v>
      </c>
      <c r="L67" s="51"/>
      <c r="M67" s="51" t="str">
        <f t="shared" si="6"/>
        <v>SCA</v>
      </c>
      <c r="N67" s="51"/>
      <c r="O67" s="51" t="str">
        <f t="shared" si="6"/>
        <v>Fraud type</v>
      </c>
      <c r="P67" s="51" t="str">
        <f t="shared" si="6"/>
        <v/>
      </c>
      <c r="Q67" s="51" t="str">
        <f t="shared" si="6"/>
        <v>Country of creditor's PSP</v>
      </c>
      <c r="R67" s="51" t="str">
        <f t="shared" si="6"/>
        <v/>
      </c>
      <c r="S67" s="51" t="str">
        <f t="shared" si="6"/>
        <v>Currency</v>
      </c>
      <c r="T67" s="51" t="str">
        <f t="shared" si="6"/>
        <v/>
      </c>
      <c r="U67" s="51" t="str">
        <f t="shared" si="6"/>
        <v>Metric</v>
      </c>
      <c r="V67" s="51" t="str">
        <f t="shared" si="6"/>
        <v/>
      </c>
    </row>
    <row r="68" spans="1:22" ht="15" x14ac:dyDescent="0.2">
      <c r="A68" s="161" t="str">
        <f ca="1">HYPERLINK("#" &amp; CELL("address", Concepts!$A$14), "Households and NPISHs")</f>
        <v>Households and NPISHs</v>
      </c>
      <c r="B68" s="49"/>
      <c r="C68" s="21" t="s">
        <v>732</v>
      </c>
      <c r="D68" s="49"/>
      <c r="E68" s="161" t="str">
        <f ca="1">HYPERLINK("#" &amp; CELL("address", Concepts!$A$27), "SEPA Instant credit transfer")</f>
        <v>SEPA Instant credit transfer</v>
      </c>
      <c r="F68" s="49"/>
      <c r="G68" s="161" t="str">
        <f ca="1">HYPERLINK("#" &amp; CELL("address", Concepts!$A$34), "E-commerce payment")</f>
        <v>E-commerce payment</v>
      </c>
      <c r="H68" s="49"/>
      <c r="I68" s="161" t="str">
        <f ca="1">HYPERLINK("#" &amp; CELL("address", Concepts!$A$43), "Remote")</f>
        <v>Remote</v>
      </c>
      <c r="J68" s="49"/>
      <c r="K68" s="161" t="str">
        <f ca="1">HYPERLINK("#" &amp; CELL("address", Concepts!$A$46), "PISP")</f>
        <v>PISP</v>
      </c>
      <c r="L68" s="49"/>
      <c r="M68" s="161" t="str">
        <f ca="1">HYPERLINK("#" &amp; CELL("address", Concepts!$A$47), "SCA used")</f>
        <v>SCA used</v>
      </c>
      <c r="N68" s="49"/>
    </row>
    <row r="70" spans="1:22" ht="15.75" x14ac:dyDescent="0.2">
      <c r="A70" s="190" t="s">
        <v>2522</v>
      </c>
    </row>
    <row r="71" spans="1:22" s="64" customFormat="1" ht="13.5" customHeight="1" x14ac:dyDescent="0.2">
      <c r="A71" s="51" t="s">
        <v>906</v>
      </c>
      <c r="B71" s="51"/>
      <c r="C71" s="51" t="str">
        <f t="shared" ref="C71:V71" si="7">IF(ISBLANK(C$3), "", C$3)</f>
        <v>Settlement channel</v>
      </c>
      <c r="D71" s="51"/>
      <c r="E71" s="51" t="str">
        <f t="shared" si="7"/>
        <v>Payment scheme</v>
      </c>
      <c r="F71" s="51"/>
      <c r="G71" s="51" t="str">
        <f t="shared" si="7"/>
        <v>Initiation channel</v>
      </c>
      <c r="H71" s="51"/>
      <c r="I71" s="51" t="str">
        <f t="shared" si="7"/>
        <v>Initiation sub-channel</v>
      </c>
      <c r="J71" s="51"/>
      <c r="K71" s="51" t="str">
        <f t="shared" si="7"/>
        <v>Initiator type</v>
      </c>
      <c r="L71" s="51"/>
      <c r="M71" s="51" t="str">
        <f t="shared" si="7"/>
        <v>SCA</v>
      </c>
      <c r="N71" s="51"/>
      <c r="O71" s="51" t="str">
        <f t="shared" si="7"/>
        <v>Fraud type</v>
      </c>
      <c r="P71" s="51" t="str">
        <f t="shared" si="7"/>
        <v/>
      </c>
      <c r="Q71" s="51" t="str">
        <f t="shared" si="7"/>
        <v>Country of creditor's PSP</v>
      </c>
      <c r="R71" s="51" t="str">
        <f t="shared" si="7"/>
        <v/>
      </c>
      <c r="S71" s="51" t="str">
        <f t="shared" si="7"/>
        <v>Currency</v>
      </c>
      <c r="T71" s="51" t="str">
        <f t="shared" si="7"/>
        <v/>
      </c>
      <c r="U71" s="51" t="str">
        <f t="shared" si="7"/>
        <v>Metric</v>
      </c>
      <c r="V71" s="51" t="str">
        <f t="shared" si="7"/>
        <v/>
      </c>
    </row>
    <row r="72" spans="1:22" ht="15" x14ac:dyDescent="0.2">
      <c r="A72" s="161" t="str">
        <f ca="1">HYPERLINK("#" &amp; CELL("address", Concepts!$A$9), "Electronic money institution")</f>
        <v>Electronic money institution</v>
      </c>
      <c r="B72" s="49"/>
      <c r="C72" s="21" t="s">
        <v>1750</v>
      </c>
      <c r="D72" s="49"/>
      <c r="E72" s="161" t="str">
        <f ca="1">HYPERLINK("#" &amp; CELL("address", Concepts!$A$26), "SEPA credit transfer")</f>
        <v>SEPA credit transfer</v>
      </c>
      <c r="F72" s="49"/>
      <c r="G72" s="161" t="str">
        <f ca="1">HYPERLINK("#" &amp; CELL("address", Concepts!$A$35), "Web banking payment")</f>
        <v>Web banking payment</v>
      </c>
      <c r="H72" s="49"/>
      <c r="I72" s="161" t="str">
        <f ca="1">HYPERLINK("#" &amp; CELL("address", Concepts!$A$43), "Remote")</f>
        <v>Remote</v>
      </c>
      <c r="J72" s="49"/>
      <c r="K72" s="161" t="str">
        <f ca="1">HYPERLINK("#" &amp; CELL("address", Concepts!$A$45), "Customer ")</f>
        <v xml:space="preserve">Customer </v>
      </c>
      <c r="L72" s="49"/>
      <c r="M72" s="161" t="str">
        <f ca="1">HYPERLINK("#" &amp; CELL("address", Concepts!$A$47), "SCA used")</f>
        <v>SCA used</v>
      </c>
      <c r="N72" s="49"/>
    </row>
    <row r="74" spans="1:22" ht="15.75" x14ac:dyDescent="0.2">
      <c r="A74" s="190" t="s">
        <v>2565</v>
      </c>
    </row>
    <row r="75" spans="1:22" s="64" customFormat="1" ht="13.5" customHeight="1" x14ac:dyDescent="0.2">
      <c r="A75" s="51" t="s">
        <v>906</v>
      </c>
      <c r="B75" s="51"/>
      <c r="C75" s="51" t="str">
        <f t="shared" ref="C75:V75" si="8">IF(ISBLANK(C$3), "", C$3)</f>
        <v>Settlement channel</v>
      </c>
      <c r="D75" s="51"/>
      <c r="E75" s="51" t="str">
        <f t="shared" si="8"/>
        <v>Payment scheme</v>
      </c>
      <c r="F75" s="51"/>
      <c r="G75" s="51" t="str">
        <f t="shared" si="8"/>
        <v>Initiation channel</v>
      </c>
      <c r="H75" s="51"/>
      <c r="I75" s="51" t="str">
        <f t="shared" si="8"/>
        <v>Initiation sub-channel</v>
      </c>
      <c r="J75" s="51"/>
      <c r="K75" s="51" t="str">
        <f t="shared" si="8"/>
        <v>Initiator type</v>
      </c>
      <c r="L75" s="51"/>
      <c r="M75" s="51" t="str">
        <f t="shared" si="8"/>
        <v>SCA</v>
      </c>
      <c r="N75" s="51"/>
      <c r="O75" s="51" t="str">
        <f t="shared" si="8"/>
        <v>Fraud type</v>
      </c>
      <c r="P75" s="51" t="str">
        <f t="shared" si="8"/>
        <v/>
      </c>
      <c r="Q75" s="51" t="str">
        <f t="shared" si="8"/>
        <v>Country of creditor's PSP</v>
      </c>
      <c r="R75" s="51" t="str">
        <f t="shared" si="8"/>
        <v/>
      </c>
      <c r="S75" s="51" t="str">
        <f t="shared" si="8"/>
        <v>Currency</v>
      </c>
      <c r="T75" s="51" t="str">
        <f t="shared" si="8"/>
        <v/>
      </c>
      <c r="U75" s="51" t="str">
        <f t="shared" si="8"/>
        <v>Metric</v>
      </c>
      <c r="V75" s="51" t="str">
        <f t="shared" si="8"/>
        <v/>
      </c>
    </row>
    <row r="76" spans="1:22" ht="15" x14ac:dyDescent="0.2">
      <c r="A76" s="161" t="str">
        <f ca="1">HYPERLINK("#" &amp; CELL("address", Concepts!$A$14), "Households and NPISHs")</f>
        <v>Households and NPISHs</v>
      </c>
      <c r="B76" s="49"/>
      <c r="C76" s="161" t="str">
        <f ca="1">HYPERLINK("#" &amp; CELL("address", Concepts!$A$23), "PSP LU")</f>
        <v>PSP LU</v>
      </c>
      <c r="D76" s="49"/>
      <c r="E76" s="161" t="str">
        <f ca="1">HYPERLINK("#" &amp; CELL("address", Concepts!$A$29), "Not applicable")</f>
        <v>Not applicable</v>
      </c>
      <c r="F76" s="49"/>
      <c r="G76" s="161" t="str">
        <f ca="1">HYPERLINK("#" &amp; CELL("address", Concepts!$A$35), "Web banking payment")</f>
        <v>Web banking payment</v>
      </c>
      <c r="H76" s="49"/>
      <c r="I76" s="161" t="str">
        <f ca="1">HYPERLINK("#" &amp; CELL("address", Concepts!$A$43), "Remote")</f>
        <v>Remote</v>
      </c>
      <c r="J76" s="49"/>
      <c r="K76" s="161" t="str">
        <f ca="1">HYPERLINK("#" &amp; CELL("address", Concepts!$A$45), "Customer ")</f>
        <v xml:space="preserve">Customer </v>
      </c>
      <c r="L76" s="49"/>
      <c r="M76" s="161" t="str">
        <f ca="1">HYPERLINK("#" &amp; CELL("address", Concepts!$A$47), "SCA used")</f>
        <v>SCA used</v>
      </c>
      <c r="N76" s="49"/>
    </row>
    <row r="78" spans="1:22" ht="15.75" x14ac:dyDescent="0.2">
      <c r="A78" s="190" t="s">
        <v>2520</v>
      </c>
      <c r="B78" s="199"/>
      <c r="C78" s="199"/>
      <c r="D78" s="199"/>
      <c r="E78" s="199"/>
      <c r="F78" s="199"/>
      <c r="G78" s="199"/>
      <c r="H78" s="199"/>
      <c r="I78" s="199"/>
      <c r="J78" s="199"/>
      <c r="K78" s="199"/>
      <c r="L78" s="199"/>
      <c r="M78" s="199"/>
      <c r="N78" s="199"/>
      <c r="O78" s="199"/>
      <c r="P78" s="199"/>
      <c r="Q78" s="199"/>
      <c r="R78" s="199"/>
      <c r="S78" s="199"/>
      <c r="T78" s="199"/>
      <c r="U78" s="199"/>
    </row>
    <row r="79" spans="1:22" s="64" customFormat="1" ht="13.5" customHeight="1" x14ac:dyDescent="0.2">
      <c r="A79" s="51" t="s">
        <v>906</v>
      </c>
      <c r="B79" s="51" t="str">
        <f t="shared" ref="B79:V79" si="9">IF(ISBLANK(B$3), "", B$3)</f>
        <v/>
      </c>
      <c r="C79" s="51" t="str">
        <f t="shared" si="9"/>
        <v>Settlement channel</v>
      </c>
      <c r="D79" s="51"/>
      <c r="E79" s="51" t="str">
        <f t="shared" si="9"/>
        <v>Payment scheme</v>
      </c>
      <c r="F79" s="51"/>
      <c r="G79" s="51" t="str">
        <f t="shared" si="9"/>
        <v>Initiation channel</v>
      </c>
      <c r="H79" s="51"/>
      <c r="I79" s="51" t="str">
        <f t="shared" si="9"/>
        <v>Initiation sub-channel</v>
      </c>
      <c r="J79" s="51" t="str">
        <f t="shared" si="9"/>
        <v/>
      </c>
      <c r="K79" s="51" t="str">
        <f t="shared" si="9"/>
        <v>Initiator type</v>
      </c>
      <c r="L79" s="51" t="str">
        <f t="shared" si="9"/>
        <v/>
      </c>
      <c r="M79" s="51" t="str">
        <f t="shared" si="9"/>
        <v>SCA</v>
      </c>
      <c r="N79" s="51" t="str">
        <f t="shared" si="9"/>
        <v/>
      </c>
      <c r="O79" s="51" t="str">
        <f t="shared" si="9"/>
        <v>Fraud type</v>
      </c>
      <c r="P79" s="51" t="str">
        <f t="shared" si="9"/>
        <v/>
      </c>
      <c r="Q79" s="51" t="str">
        <f t="shared" si="9"/>
        <v>Country of creditor's PSP</v>
      </c>
      <c r="R79" s="51" t="str">
        <f t="shared" si="9"/>
        <v/>
      </c>
      <c r="S79" s="51" t="str">
        <f t="shared" si="9"/>
        <v>Currency</v>
      </c>
      <c r="T79" s="51" t="str">
        <f t="shared" si="9"/>
        <v/>
      </c>
      <c r="U79" s="51" t="str">
        <f t="shared" si="9"/>
        <v>Metric</v>
      </c>
      <c r="V79" s="51" t="str">
        <f t="shared" si="9"/>
        <v/>
      </c>
    </row>
    <row r="80" spans="1:22" x14ac:dyDescent="0.2">
      <c r="A80" s="161" t="str">
        <f ca="1">HYPERLINK("#" &amp; CELL("address", Concepts!$A$15), "Non-financial corporations")</f>
        <v>Non-financial corporations</v>
      </c>
      <c r="C80" s="21" t="s">
        <v>1750</v>
      </c>
      <c r="E80" s="161" t="str">
        <f ca="1">HYPERLINK("#" &amp; CELL("address", Concepts!$A$26), "SEPA credit transfer")</f>
        <v>SEPA credit transfer</v>
      </c>
      <c r="G80" s="161" t="str">
        <f ca="1">HYPERLINK("#" &amp; CELL("address", Concepts!$A$32), "Electronic file/batch")</f>
        <v>Electronic file/batch</v>
      </c>
      <c r="I80" s="161" t="str">
        <f ca="1">HYPERLINK("#" &amp; CELL("address", Concepts!$A$43), "Remote")</f>
        <v>Remote</v>
      </c>
      <c r="K80" s="161" t="str">
        <f ca="1">HYPERLINK("#" &amp; CELL("address", Concepts!$A$45), "Customer")</f>
        <v>Customer</v>
      </c>
      <c r="M80" s="161" t="str">
        <f ca="1">HYPERLINK("#" &amp; CELL("address", Concepts!$A$47), "SCA used")</f>
        <v>SCA used</v>
      </c>
    </row>
    <row r="82" spans="1:22" ht="15.75" x14ac:dyDescent="0.2">
      <c r="A82" s="190" t="s">
        <v>2580</v>
      </c>
      <c r="B82" s="199"/>
      <c r="C82" s="199"/>
      <c r="D82" s="199"/>
      <c r="E82" s="199"/>
      <c r="F82" s="199"/>
      <c r="G82" s="199"/>
      <c r="H82" s="199"/>
      <c r="I82" s="199"/>
      <c r="J82" s="199"/>
      <c r="K82" s="199"/>
      <c r="L82" s="199"/>
      <c r="M82" s="199"/>
      <c r="N82" s="199"/>
      <c r="O82" s="199"/>
      <c r="P82" s="199"/>
      <c r="Q82" s="199"/>
      <c r="R82" s="199"/>
      <c r="S82" s="199"/>
      <c r="T82" s="199"/>
      <c r="U82" s="199"/>
    </row>
    <row r="83" spans="1:22" s="64" customFormat="1" ht="13.5" customHeight="1" x14ac:dyDescent="0.2">
      <c r="A83" s="51" t="s">
        <v>906</v>
      </c>
      <c r="B83" s="51" t="str">
        <f t="shared" ref="B83:V83" si="10">IF(ISBLANK(B$3), "", B$3)</f>
        <v/>
      </c>
      <c r="C83" s="51" t="str">
        <f t="shared" si="10"/>
        <v>Settlement channel</v>
      </c>
      <c r="D83" s="51"/>
      <c r="E83" s="51" t="str">
        <f t="shared" si="10"/>
        <v>Payment scheme</v>
      </c>
      <c r="F83" s="51"/>
      <c r="G83" s="51" t="str">
        <f t="shared" si="10"/>
        <v>Initiation channel</v>
      </c>
      <c r="H83" s="51"/>
      <c r="I83" s="51" t="str">
        <f t="shared" si="10"/>
        <v>Initiation sub-channel</v>
      </c>
      <c r="J83" s="51" t="str">
        <f t="shared" si="10"/>
        <v/>
      </c>
      <c r="K83" s="51" t="str">
        <f t="shared" si="10"/>
        <v>Initiator type</v>
      </c>
      <c r="L83" s="51" t="str">
        <f t="shared" si="10"/>
        <v/>
      </c>
      <c r="M83" s="51" t="str">
        <f t="shared" si="10"/>
        <v>SCA</v>
      </c>
      <c r="N83" s="51" t="str">
        <f t="shared" si="10"/>
        <v/>
      </c>
      <c r="O83" s="51" t="str">
        <f t="shared" si="10"/>
        <v>Fraud type</v>
      </c>
      <c r="P83" s="51" t="str">
        <f t="shared" si="10"/>
        <v/>
      </c>
      <c r="Q83" s="51" t="str">
        <f t="shared" si="10"/>
        <v>Country of creditor's PSP</v>
      </c>
      <c r="R83" s="51" t="str">
        <f t="shared" si="10"/>
        <v/>
      </c>
      <c r="S83" s="51" t="str">
        <f t="shared" si="10"/>
        <v>Currency</v>
      </c>
      <c r="T83" s="51" t="str">
        <f t="shared" si="10"/>
        <v/>
      </c>
      <c r="U83" s="51" t="str">
        <f t="shared" si="10"/>
        <v>Metric</v>
      </c>
      <c r="V83" s="51" t="str">
        <f t="shared" si="10"/>
        <v/>
      </c>
    </row>
    <row r="84" spans="1:22" x14ac:dyDescent="0.2">
      <c r="A84" s="161" t="str">
        <f ca="1">HYPERLINK("#" &amp; CELL("address", Concepts!$A$14), "Households and NPISHs")</f>
        <v>Households and NPISHs</v>
      </c>
      <c r="B84" s="199"/>
      <c r="C84" s="199" t="s">
        <v>1750</v>
      </c>
      <c r="D84" s="199"/>
      <c r="E84" s="161" t="str">
        <f ca="1">HYPERLINK("#" &amp; CELL("address", Concepts!$A$26), "SEPA credit transfer")</f>
        <v>SEPA credit transfer</v>
      </c>
      <c r="F84" s="199"/>
      <c r="G84" s="161" t="str">
        <f ca="1">HYPERLINK("#" &amp; CELL("address", Concepts!$A$34), "E-commerce payment")</f>
        <v>E-commerce payment</v>
      </c>
      <c r="H84" s="199"/>
      <c r="I84" s="161" t="str">
        <f ca="1">HYPERLINK("#" &amp; CELL("address", Concepts!$A$43), "Remote")</f>
        <v>Remote</v>
      </c>
      <c r="J84" s="199"/>
      <c r="K84" s="161" t="str">
        <f ca="1">HYPERLINK("#" &amp; CELL("address", Concepts!$A$46), "PISP")</f>
        <v>PISP</v>
      </c>
      <c r="L84" s="199"/>
      <c r="M84" s="161" t="str">
        <f ca="1">HYPERLINK("#" &amp; CELL("address", Concepts!$A$47), "SCA used")</f>
        <v>SCA used</v>
      </c>
      <c r="N84" s="199"/>
      <c r="O84" s="199"/>
      <c r="P84" s="199"/>
      <c r="Q84" s="199"/>
      <c r="R84" s="199"/>
      <c r="S84" s="199"/>
      <c r="T84" s="199"/>
      <c r="U84" s="199"/>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59999389629810485"/>
  </sheetPr>
  <dimension ref="A1:J23"/>
  <sheetViews>
    <sheetView workbookViewId="0"/>
  </sheetViews>
  <sheetFormatPr defaultRowHeight="14.25" x14ac:dyDescent="0.2"/>
  <cols>
    <col min="1" max="1" width="25.875" customWidth="1"/>
    <col min="2" max="2" width="5.625" customWidth="1"/>
    <col min="3" max="3" width="27.5" customWidth="1"/>
    <col min="4" max="4" width="7.25" customWidth="1"/>
    <col min="5" max="5" width="25.625" customWidth="1"/>
    <col min="6" max="6" width="7.375" customWidth="1"/>
    <col min="7" max="7" width="26.625" customWidth="1"/>
    <col min="8" max="8" width="12.875" customWidth="1"/>
    <col min="9" max="9" width="27.25" customWidth="1"/>
    <col min="10" max="10" width="13.125" customWidth="1"/>
    <col min="11" max="11" width="20.5" customWidth="1"/>
    <col min="12" max="12" width="18.25" customWidth="1"/>
  </cols>
  <sheetData>
    <row r="1" spans="1:10" x14ac:dyDescent="0.2">
      <c r="A1" s="61" t="str">
        <f ca="1">HYPERLINK("#" &amp; CELL("address",INDEX!$A$1), "Go back to INDEX")</f>
        <v>Go back to INDEX</v>
      </c>
    </row>
    <row r="2" spans="1:10" ht="20.25" x14ac:dyDescent="0.2">
      <c r="A2" s="34" t="s">
        <v>1687</v>
      </c>
    </row>
    <row r="3" spans="1:10" s="33" customFormat="1" ht="15" x14ac:dyDescent="0.2">
      <c r="A3" s="59" t="s">
        <v>906</v>
      </c>
      <c r="B3" s="59"/>
      <c r="C3" s="59" t="s">
        <v>65</v>
      </c>
      <c r="D3" s="59"/>
      <c r="E3" s="59" t="s">
        <v>750</v>
      </c>
      <c r="F3" s="59"/>
      <c r="G3" s="51" t="s">
        <v>361</v>
      </c>
      <c r="H3" s="51"/>
      <c r="I3" s="51" t="s">
        <v>744</v>
      </c>
      <c r="J3" s="51"/>
    </row>
    <row r="4" spans="1:10" ht="15.75" customHeight="1" x14ac:dyDescent="0.2">
      <c r="A4" s="155" t="str">
        <f ca="1">HYPERLINK("#" &amp; CELL("address", Concepts!$A$6), "MFIs:")</f>
        <v>MFIs:</v>
      </c>
      <c r="B4" s="49"/>
      <c r="C4" s="37" t="s">
        <v>737</v>
      </c>
      <c r="E4" s="158" t="str">
        <f ca="1">HYPERLINK("#" &amp; CELL("address", Concepts!$A$145), "2-letter ISO 3166 country code")</f>
        <v>2-letter ISO 3166 country code</v>
      </c>
      <c r="F4" s="35" t="s">
        <v>360</v>
      </c>
      <c r="G4" s="159" t="str">
        <f ca="1">HYPERLINK("#" &amp; CELL("address", Concepts!$A$146), "3-letter ISO 4217 currency code")</f>
        <v>3-letter ISO 4217 currency code</v>
      </c>
      <c r="H4" s="35" t="s">
        <v>362</v>
      </c>
      <c r="I4" s="158" t="str">
        <f ca="1">HYPERLINK("#" &amp; CELL("address", Concepts!$A$147), "Number of transactions ")</f>
        <v xml:space="preserve">Number of transactions </v>
      </c>
      <c r="J4" s="35" t="s">
        <v>389</v>
      </c>
    </row>
    <row r="5" spans="1:10" ht="15" x14ac:dyDescent="0.2">
      <c r="A5" s="160" t="str">
        <f ca="1">HYPERLINK("#" &amp; CELL("address", Concepts!$A$7), "╠═ Credit institution")</f>
        <v>╠═ Credit institution</v>
      </c>
      <c r="B5" s="49" t="s">
        <v>356</v>
      </c>
      <c r="C5" t="s">
        <v>2653</v>
      </c>
      <c r="D5" s="49" t="s">
        <v>45</v>
      </c>
      <c r="G5" s="31"/>
      <c r="H5" s="35"/>
      <c r="I5" s="158" t="str">
        <f ca="1">HYPERLINK("#" &amp; CELL("address", Concepts!$A$148), "Value of transactions")</f>
        <v>Value of transactions</v>
      </c>
      <c r="J5" s="35" t="s">
        <v>390</v>
      </c>
    </row>
    <row r="6" spans="1:10" ht="15" x14ac:dyDescent="0.2">
      <c r="A6" s="160" t="str">
        <f ca="1">HYPERLINK("#" &amp; CELL("address", Concepts!$A$8), "╠═ Monetary fund")</f>
        <v>╠═ Monetary fund</v>
      </c>
      <c r="B6" s="49" t="s">
        <v>357</v>
      </c>
      <c r="C6" t="s">
        <v>1896</v>
      </c>
      <c r="D6" s="49" t="s">
        <v>47</v>
      </c>
    </row>
    <row r="7" spans="1:10" ht="15" x14ac:dyDescent="0.2">
      <c r="A7" s="160" t="str">
        <f ca="1">HYPERLINK("#" &amp; CELL("address", Concepts!$A$9), "╠═ Electronic money institution ")</f>
        <v xml:space="preserve">╠═ Electronic money institution </v>
      </c>
      <c r="B7" s="49" t="s">
        <v>475</v>
      </c>
      <c r="C7" t="s">
        <v>1897</v>
      </c>
      <c r="D7" s="49" t="s">
        <v>49</v>
      </c>
    </row>
    <row r="8" spans="1:10" ht="15" x14ac:dyDescent="0.2">
      <c r="A8" s="160" t="str">
        <f ca="1">HYPERLINK("#" &amp; CELL("address", Concepts!$A$13), "╠═ Payment institution")</f>
        <v>╠═ Payment institution</v>
      </c>
      <c r="B8" s="49" t="s">
        <v>1015</v>
      </c>
      <c r="C8" t="s">
        <v>1898</v>
      </c>
      <c r="D8" s="49" t="s">
        <v>51</v>
      </c>
    </row>
    <row r="9" spans="1:10" ht="15" x14ac:dyDescent="0.2">
      <c r="A9" s="160" t="str">
        <f ca="1">HYPERLINK("#" &amp; CELL("address", Concepts!$A$10), "╚═ Other MFI")</f>
        <v>╚═ Other MFI</v>
      </c>
      <c r="B9" s="49" t="s">
        <v>470</v>
      </c>
      <c r="C9" t="s">
        <v>1899</v>
      </c>
      <c r="D9" s="49" t="s">
        <v>53</v>
      </c>
    </row>
    <row r="10" spans="1:10" ht="15" x14ac:dyDescent="0.2">
      <c r="A10" s="155" t="str">
        <f ca="1">HYPERLINK("#" &amp; CELL("address", Concepts!$A$11), "Non-MFIs:")</f>
        <v>Non-MFIs:</v>
      </c>
      <c r="B10" s="49"/>
      <c r="C10" s="37" t="s">
        <v>921</v>
      </c>
      <c r="D10" s="49"/>
    </row>
    <row r="11" spans="1:10" ht="15" x14ac:dyDescent="0.2">
      <c r="A11" s="160" t="str">
        <f ca="1">HYPERLINK("#" &amp; CELL("address", Concepts!$A$12), "╠═ Non-monetary fund")</f>
        <v>╠═ Non-monetary fund</v>
      </c>
      <c r="B11" s="49" t="s">
        <v>352</v>
      </c>
      <c r="C11" t="s">
        <v>1900</v>
      </c>
      <c r="D11" s="49" t="s">
        <v>732</v>
      </c>
    </row>
    <row r="12" spans="1:10" ht="15" x14ac:dyDescent="0.2">
      <c r="A12" s="160" t="str">
        <f ca="1">HYPERLINK("#" &amp; CELL("address", Concepts!$A$14), "╠═ Households and NPISHs")</f>
        <v>╠═ Households and NPISHs</v>
      </c>
      <c r="B12" s="49" t="s">
        <v>738</v>
      </c>
      <c r="C12" t="s">
        <v>1901</v>
      </c>
      <c r="D12" s="49" t="s">
        <v>798</v>
      </c>
    </row>
    <row r="13" spans="1:10" ht="15" x14ac:dyDescent="0.2">
      <c r="A13" s="160" t="str">
        <f ca="1">HYPERLINK("#" &amp; CELL("address", Concepts!$A$15), "╠═ Non-financial corporations")</f>
        <v>╠═ Non-financial corporations</v>
      </c>
      <c r="B13" s="49" t="s">
        <v>739</v>
      </c>
      <c r="C13" s="160" t="str">
        <f ca="1">HYPERLINK("#" &amp; CELL("address", Concepts!$A$19), "║╚═ Other instant ")</f>
        <v xml:space="preserve">║╚═ Other instant </v>
      </c>
      <c r="D13" s="49" t="s">
        <v>736</v>
      </c>
    </row>
    <row r="14" spans="1:10" ht="15" x14ac:dyDescent="0.2">
      <c r="A14" s="160" t="str">
        <f ca="1">HYPERLINK("#" &amp; CELL("address", Concepts!$A$16), "╚═ Other non-MFI")</f>
        <v>╚═ Other non-MFI</v>
      </c>
      <c r="B14" s="49" t="s">
        <v>472</v>
      </c>
      <c r="C14" s="160" t="str">
        <f ca="1">HYPERLINK("#" &amp; CELL("address", Concepts!$A$20), "On-us")</f>
        <v>On-us</v>
      </c>
      <c r="D14" s="49" t="s">
        <v>55</v>
      </c>
    </row>
    <row r="15" spans="1:10" ht="15" x14ac:dyDescent="0.2">
      <c r="A15" s="175" t="str">
        <f ca="1">HYPERLINK("#" &amp; CELL("address", Concepts!$A$17), "Own account operation")</f>
        <v>Own account operation</v>
      </c>
      <c r="B15" s="49" t="s">
        <v>474</v>
      </c>
      <c r="C15" s="160" t="str">
        <f ca="1">HYPERLINK("#" &amp; CELL("address", Concepts!$A$23), "PSP LU")</f>
        <v>PSP LU</v>
      </c>
      <c r="D15" s="49" t="s">
        <v>60</v>
      </c>
    </row>
    <row r="16" spans="1:10" ht="15" x14ac:dyDescent="0.2">
      <c r="A16" s="160" t="str">
        <f ca="1">HYPERLINK("#" &amp; CELL("address", Concepts!$A$18), "Unknown")</f>
        <v>Unknown</v>
      </c>
      <c r="B16" s="49" t="s">
        <v>350</v>
      </c>
      <c r="C16" s="160" t="str">
        <f ca="1">HYPERLINK("#" &amp; CELL("address", Concepts!$A$24), "PSP non-LU")</f>
        <v>PSP non-LU</v>
      </c>
      <c r="D16" s="49" t="s">
        <v>62</v>
      </c>
    </row>
    <row r="17" spans="1:4" ht="15" x14ac:dyDescent="0.2">
      <c r="C17" s="160" t="str">
        <f ca="1">HYPERLINK("#" &amp; CELL("address", Concepts!$A$25), "Other")</f>
        <v>Other</v>
      </c>
      <c r="D17" s="49" t="s">
        <v>364</v>
      </c>
    </row>
    <row r="22" spans="1:4" ht="15" x14ac:dyDescent="0.2">
      <c r="A22" s="37"/>
    </row>
    <row r="23" spans="1:4" x14ac:dyDescent="0.2">
      <c r="A23" s="2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vt:i4>
      </vt:variant>
    </vt:vector>
  </HeadingPairs>
  <TitlesOfParts>
    <vt:vector size="36" baseType="lpstr">
      <vt:lpstr>INDEX</vt:lpstr>
      <vt:lpstr>Introduction</vt:lpstr>
      <vt:lpstr>Correspondence</vt:lpstr>
      <vt:lpstr>Modifications</vt:lpstr>
      <vt:lpstr>V1.20+V1.20-F</vt:lpstr>
      <vt:lpstr>V1.21</vt:lpstr>
      <vt:lpstr>V1.30+V1.30-F</vt:lpstr>
      <vt:lpstr>V1.31</vt:lpstr>
      <vt:lpstr>V1.40</vt:lpstr>
      <vt:lpstr>V1.41</vt:lpstr>
      <vt:lpstr>V1.42</vt:lpstr>
      <vt:lpstr>V1.50+V1.50-F</vt:lpstr>
      <vt:lpstr>V1.51</vt:lpstr>
      <vt:lpstr>V1.52+V1.52-F</vt:lpstr>
      <vt:lpstr>V1.53</vt:lpstr>
      <vt:lpstr>V1.60+V1.60-F</vt:lpstr>
      <vt:lpstr>V1.70</vt:lpstr>
      <vt:lpstr>V1.80</vt:lpstr>
      <vt:lpstr>V1.90</vt:lpstr>
      <vt:lpstr>V1.91+V1.91-F</vt:lpstr>
      <vt:lpstr>V1.100</vt:lpstr>
      <vt:lpstr>V1.110+V1.110-F</vt:lpstr>
      <vt:lpstr>V1.200</vt:lpstr>
      <vt:lpstr>V1.201</vt:lpstr>
      <vt:lpstr>V1.210</vt:lpstr>
      <vt:lpstr>V1.220</vt:lpstr>
      <vt:lpstr>V1.221</vt:lpstr>
      <vt:lpstr>V1.222</vt:lpstr>
      <vt:lpstr>V1.230</vt:lpstr>
      <vt:lpstr>V1.300-F</vt:lpstr>
      <vt:lpstr>Codes</vt:lpstr>
      <vt:lpstr>Concepts</vt:lpstr>
      <vt:lpstr>Customer category</vt:lpstr>
      <vt:lpstr>MCC</vt:lpstr>
      <vt:lpstr>Processing chain</vt:lpstr>
      <vt:lpstr>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Dvorak</dc:creator>
  <cp:lastModifiedBy>Pavel Dvořák</cp:lastModifiedBy>
  <cp:lastPrinted>2021-04-15T08:33:46Z</cp:lastPrinted>
  <dcterms:created xsi:type="dcterms:W3CDTF">2006-09-16T00:00:00Z</dcterms:created>
  <dcterms:modified xsi:type="dcterms:W3CDTF">2023-12-12T08:36:53Z</dcterms:modified>
</cp:coreProperties>
</file>